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ibis\OneDrive\Documentos\LENOVO\DBox\FONDO PENSIONAL CARTAGO\pagina\INFORME C INTERNO\"/>
    </mc:Choice>
  </mc:AlternateContent>
  <bookViews>
    <workbookView xWindow="0" yWindow="0" windowWidth="20490" windowHeight="6930" activeTab="3"/>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<sst xmlns="http://schemas.openxmlformats.org/spreadsheetml/2006/main" count="514" uniqueCount="245">
  <si>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</si>
  <si>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</si>
  <si>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</si>
  <si>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</si>
  <si>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</si>
  <si>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</si>
  <si>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</si>
  <si>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</si>
  <si>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</si>
  <si>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</si>
  <si>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</si>
  <si>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</si>
  <si>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</si>
  <si>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</si>
  <si>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</si>
  <si>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</si>
  <si>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</si>
  <si>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</si>
  <si>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</si>
  <si>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</si>
  <si>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</si>
  <si>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</si>
  <si>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</si>
  <si>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</si>
  <si>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</si>
  <si>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</si>
  <si>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</si>
  <si>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</si>
  <si>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</si>
  <si>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</si>
  <si>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</si>
  <si>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</si>
  <si>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</si>
  <si>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</si>
  <si>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</si>
  <si>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</si>
  <si>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</si>
  <si>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</si>
  <si>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</si>
  <si>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</si>
  <si>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</si>
  <si>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</si>
  <si>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</si>
  <si>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</si>
  <si>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</si>
  <si>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</si>
  <si>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</si>
  <si>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</si>
  <si>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</si>
  <si>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</si>
  <si>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</si>
  <si>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</si>
  <si>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</si>
  <si>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</si>
  <si>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</si>
  <si>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</si>
  <si>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</si>
  <si>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</si>
  <si>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</si>
  <si>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</si>
  <si>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</si>
  <si>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</si>
  <si>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</si>
  <si>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</si>
  <si>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</si>
  <si>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</si>
  <si>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</si>
  <si>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</si>
  <si>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</si>
  <si>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</si>
  <si>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</si>
  <si>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</si>
  <si>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</si>
  <si>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</si>
  <si>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</si>
  <si>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</si>
  <si>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</si>
  <si>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</si>
  <si>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</si>
  <si>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</si>
  <si>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</si>
  <si>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</si>
  <si>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</si>
  <si>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</si>
  <si>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</si>
  <si>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</si>
  <si>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</si>
  <si>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</si>
  <si>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</si>
  <si>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</si>
  <si>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</si>
  <si>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</si>
  <si>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</si>
  <si>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</si>
  <si>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</si>
  <si>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</si>
  <si>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</si>
  <si>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</si>
  <si>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</si>
  <si>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</si>
  <si>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</si>
  <si>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</si>
  <si>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</si>
  <si>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</si>
  <si>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</si>
  <si>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</si>
  <si>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</si>
  <si>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</si>
  <si>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</si>
  <si>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</si>
  <si>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</si>
  <si>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</si>
  <si>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</si>
  <si>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</si>
  <si>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</si>
  <si>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</si>
  <si>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</si>
  <si>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</si>
  <si>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</si>
  <si>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</si>
  <si>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</si>
  <si>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</si>
  <si>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</si>
  <si>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</si>
  <si>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</si>
  <si>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</si>
  <si>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</si>
  <si>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</si>
  <si>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</si>
  <si>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</si>
  <si>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</si>
  <si>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</si>
  <si>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</si>
  <si>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</si>
  <si>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</si>
  <si>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</si>
  <si>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</si>
  <si>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</si>
  <si>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</si>
  <si>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</si>
  <si>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</si>
  <si>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</si>
  <si>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</si>
  <si>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</si>
  <si>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</si>
  <si>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</si>
  <si>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</si>
  <si>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</si>
  <si>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</si>
  <si>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</si>
  <si>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</si>
  <si>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</si>
  <si>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</si>
  <si>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</si>
  <si>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</si>
  <si>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</si>
  <si>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</si>
  <si>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</si>
  <si>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</si>
  <si>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</si>
  <si>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</si>
  <si>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</si>
  <si>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</si>
  <si>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</si>
  <si>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</si>
  <si>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</si>
  <si>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</si>
  <si>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</si>
  <si>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</si>
  <si>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</si>
  <si>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</si>
  <si>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</si>
  <si>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</si>
  <si>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</si>
  <si>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</si>
  <si>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</si>
  <si>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</si>
  <si>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</si>
  <si>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</si>
  <si>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</si>
  <si>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</si>
  <si>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</si>
  <si>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</si>
  <si>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</si>
  <si>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</si>
  <si>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</si>
  <si>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</si>
  <si>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</si>
  <si>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</si>
  <si>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</si>
  <si>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</si>
  <si>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La entidad aplica la Ley 489 de 1998 la cual establece que todas las entidades y organismos de la administración pública tienen la obligación de desarrollar su gestión acorde con los principios de la democracia participativa y democratización de la gestión pública, para lo cual dichas organizaciones deben realizar la rendición de cuentas a la ciudadanía.</t>
  </si>
  <si>
    <t>La entidad tiene implementado la politica para la gestion de documentos electronicos, igualmente se hace copias de seguridad de la informacion periodicamente.</t>
  </si>
  <si>
    <t>La entidad hace seguimiento a los riesgos por cada proceso para que no se afecten los procesos de la entidad.</t>
  </si>
  <si>
    <t xml:space="preserve">Una vez se hace la auditoria se plantea plan de mejoramiento pasa solucionar los hallazgos encontrados. </t>
  </si>
  <si>
    <t xml:space="preserve">La edtidad tiene claramente dentro de su planta de personal funcionarios idoneos conocedores de la informacion institucional. </t>
  </si>
  <si>
    <t>La entidad esta sujeto a toda la normatividad vigente en todos sus procesos.</t>
  </si>
  <si>
    <t>Cada que se hace una auditoria se deja observaciones y recomendaciones, adicionalmente se solicita un plan de mejoramiento de los hallazgos encontrados en la auditoria.</t>
  </si>
  <si>
    <t xml:space="preserve">La oficina asesora de control interno de la entidad, participa en el comité Departamental de Auditorias y mantiene en contacto con los diferentes oficinas de control interno de los diferentes municipios. </t>
  </si>
  <si>
    <t>Las entidad presenta oportunamente los informes a todos los entes de control, falta diseñar una matriz o cuadro que indique las fechas, tipo de informe y responsable de presentación.</t>
  </si>
  <si>
    <t>La institución tiene diseñados matrices para la identificación, evaluación y control de riesgos por cada proceso.</t>
  </si>
  <si>
    <t>Se cuenta con matrices pero se debe programar espacios para la revision y actualizacion a traves del Comité de Gestion y Desempeño.</t>
  </si>
  <si>
    <t xml:space="preserve">La entidad incluye en los mapas de riesgos por cada proceso e institucional los controles para la mitigaciones incluidos actos de corrupcion. </t>
  </si>
  <si>
    <t>La entidad tiene definido los procesos de comunicación, falta diseñar el plan Estrategico de tegnologia de la Informacion y Comunicación. (PETI)</t>
  </si>
  <si>
    <t>La entidad controla los puntos criticos medientes seguimientos y audiotorias por parte de la Oficina de Control Interno, Auditoria medica y calidad</t>
  </si>
  <si>
    <t xml:space="preserve">Las falencias identificadas en la implementacion resultan del diseño de las acciones (Informe de Auditoria) </t>
  </si>
  <si>
    <t xml:space="preserve">La entidad tiene correos institucionales  y acceso a plataformas de Organismos Gubernamentales. </t>
  </si>
  <si>
    <t>La entidad tiene publicado es su plagina web Institucional el Plan Anticorrupcion y se respectivo seguimiento.</t>
  </si>
  <si>
    <t>La entiodad NO tiene diseñado un Instructivo para el tratamiento de la informacion de carácter reservado.</t>
  </si>
  <si>
    <t>La entidad tiene actualizado la estructura organizacional y manual de funciones</t>
  </si>
  <si>
    <t>Le entidad posee el manual de funciones,falta nueva socialización</t>
  </si>
  <si>
    <t>La entidad cuenta con el mapa de procesos y procedimientos, el cual se encuentra publicado en la pagina instiotucional, se cuenta con procesos definidos y documentados, se cuenta con software SERVISIGC para el control de la documentación</t>
  </si>
  <si>
    <t>Los funcionarios que estan de planta se encuentran nombrados de acuerdo al marco normativo</t>
  </si>
  <si>
    <t>En cuanto al proceso de evaluación de desempeño, es necesario iniciar implemementación</t>
  </si>
  <si>
    <t>Es necesario definir plan de preparación para el retiro</t>
  </si>
  <si>
    <t>La entidad tiene identificado los riegos de corrupcion y los riesgos por cada proceso.</t>
  </si>
  <si>
    <t>La entidiad tiene plenamente identifiicados los riesgos relacionados con posilbes actos de corrupcion y estan planteados en la matriz de riesgos Institucional.</t>
  </si>
  <si>
    <t>Los lideres de procesos retroalimentan a su equipo de trabajo sobre las actividades que pueden generar riesgos en sus procesos.</t>
  </si>
  <si>
    <t>La entidad evidencia falencias en la autonomia para la toma de desicones, se debe capacitar al personal en la gestion del riesgo (Incluir en el Plan de Capacitaciones)</t>
  </si>
  <si>
    <t>La entidad tiene canales de comunicación a los jubilados y pensionados</t>
  </si>
  <si>
    <t>La entidad esta reforzando la Gestion Documental y cuenta con TRD actualizadas</t>
  </si>
  <si>
    <t>La entidad cuenta con mecanismos de evaluacion coordinados por los asesores internos</t>
  </si>
  <si>
    <t>Se hace seguimientos a los planes de mejoramiento de las auditorias realizadas.</t>
  </si>
  <si>
    <t>La entidad a traves del Comité de Gestión y Desempeño, se verifica el cumplimiento de Objetivos, sin embargo se debe incluir seguimientos a los mapas de riesgos</t>
  </si>
  <si>
    <t>Las auditorias internas realizadas en la institución se dejan plasmados las recomendaciones, para el diseño de acciones</t>
  </si>
  <si>
    <t xml:space="preserve">La entidad ha tomando los correctivos adecuados para los problemas evidenciados en las actividades de monitoreo (Informe de Auditoria) </t>
  </si>
  <si>
    <t>La entidad  tiene establecido un mecanismo de verificacion de auditorias o seguimiento a los controloes mapas de riesgos.</t>
  </si>
  <si>
    <t>Se han tomado planes de accion con relacion a la materializacion del riesgo.</t>
  </si>
  <si>
    <t>Se cuenta con informes promenorizados y comité de gestión y desempeño funcionando</t>
  </si>
  <si>
    <t>La entidad realiza el análisis de contexto realizado en el plan de desarrollo.</t>
  </si>
  <si>
    <r>
      <t xml:space="preserve">La Entidad tiene adoptado el Modelo Integrado de Planeacion y Gestion mediante Resolucion </t>
    </r>
    <r>
      <rPr>
        <sz val="12"/>
        <color rgb="FFFF0000"/>
        <rFont val="Arial Narrow"/>
        <family val="2"/>
      </rPr>
      <t>No. 0061 de xxxxx</t>
    </r>
  </si>
  <si>
    <r>
      <t xml:space="preserve">La entidad tiene adoptado el codigo de integridad mediante Resolucion </t>
    </r>
    <r>
      <rPr>
        <sz val="12"/>
        <color rgb="FFFF0000"/>
        <rFont val="Arial Narrow"/>
        <family val="2"/>
      </rPr>
      <t>No. 0025 de xxxxx</t>
    </r>
  </si>
  <si>
    <t>La entidad cuenta con las matrices de riesgos, se cuenta con los planes PETI y demas relacionados, es ncesario revisar de manera permanente</t>
  </si>
  <si>
    <t>Se cuenta con comité de gestión y desempeño activo, estandarización de procesos en actualización permanente.
Se cuenta con código de integridad socializado, implementado y en proceso de evaluación.
Se con plan de acción elaborado</t>
  </si>
  <si>
    <t>Se cuenta con mapas de riesgo documentados, asociados a todos los procesos del SGC, pendiente actualización permanente</t>
  </si>
  <si>
    <t>No se encuentran definidas formalmente las líneas de defensa,  se cuenta con manual de funciones</t>
  </si>
  <si>
    <t>Se cuenta con página web funcionando
El PETI, riesgos y controles asociados al proceso de TICS se encuentran documentados, pendiente realizar seguimiento
Se cuenta con oficina de  atención al usuario accesible al público
Se cuenta con canales para la recepción de PQRSD</t>
  </si>
  <si>
    <t>Se cuenta con un sistema en continua actualización, el comitè de gestión y desempeño realiza seguimiento a directrices generales no solo del MIPG2 si no de elementos transversales de carácter legal, articulado con los demás comités institucionales</t>
  </si>
  <si>
    <t>Se cuenta con un sistema funcionando, los procesos se encuentran documentados y en permanente actualizaciòn, se cuenta con publicador de documentos y software SERVISGC que permite la visualizaciòn y consulta permanente de los mismos, faltan algunos productos asociados al MIPG2</t>
  </si>
  <si>
    <t>Se cuenta con manual de funciones y estructura definida</t>
  </si>
  <si>
    <t>La entidad cuenta con una mision y vision institucional acorde con el plan de desarrollo</t>
  </si>
  <si>
    <t xml:space="preserve">La entidad hace induccion al personal, igualmente se encuentra se definió plan de incentivos falta ejecución a conformidad. Falta elaborar el cronograma de capacitaciones para la vigencia actual. </t>
  </si>
  <si>
    <t>Se cuenta con planes documentados asociados al decreto 612 de 2018, pendiente realizar seguimiento a su eficacia</t>
  </si>
  <si>
    <t>ENERO A DICIEMBRE DE 2021</t>
  </si>
  <si>
    <t>FONDO PARA LA CONSOLIDACIÓN DEL PATRIMONIOA AUTÓNOMO PENSIONAL DE CARTAGO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</si>
</sst>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0"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color rgb="FFFF0000"/>
      <name val="Arial Narrow"/>
      <family val="2"/>
    </font>
    <font>
      <sz val="14"/>
      <name val="Arial"/>
      <family val="2"/>
    </font>
    <font>
      <sz val="14"/>
      <color theme="1"/>
      <name val="Arial"/>
      <family val="2"/>
    </font>
  </fonts>
  <fills count="19">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6" tint="0.39997558519241921"/>
        <bgColor indexed="64"/>
      </patternFill>
    </fill>
  </fills>
  <borders count="97">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32">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43" fillId="0" borderId="3" xfId="0" applyFont="1" applyFill="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43" fillId="0" borderId="2" xfId="0" applyFont="1" applyFill="1" applyBorder="1" applyAlignment="1" applyProtection="1">
      <alignment horizontal="center"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6" fillId="8" borderId="9" xfId="0" applyFont="1" applyFill="1" applyBorder="1" applyAlignment="1" applyProtection="1">
      <alignment horizontal="left" vertical="center" wrapText="1"/>
      <protection locked="0"/>
    </xf>
    <xf numFmtId="0" fontId="46" fillId="17" borderId="79" xfId="0" applyFont="1" applyFill="1" applyBorder="1" applyAlignment="1" applyProtection="1">
      <alignment horizontal="left" vertical="center" wrapText="1"/>
      <protection locked="0"/>
    </xf>
    <xf numFmtId="0" fontId="47" fillId="17" borderId="9" xfId="0" applyFont="1" applyFill="1" applyBorder="1" applyAlignment="1" applyProtection="1">
      <alignment horizontal="left" vertical="center" wrapText="1"/>
      <protection locked="0"/>
    </xf>
    <xf numFmtId="0" fontId="46" fillId="7" borderId="9" xfId="0" applyFont="1" applyFill="1" applyBorder="1" applyAlignment="1" applyProtection="1">
      <alignment horizontal="left" vertical="center" wrapText="1"/>
      <protection locked="0"/>
    </xf>
    <xf numFmtId="0" fontId="46" fillId="17" borderId="9" xfId="0" applyFont="1" applyFill="1" applyBorder="1" applyAlignment="1" applyProtection="1">
      <alignment horizontal="left" vertical="center" wrapText="1"/>
      <protection locked="0"/>
    </xf>
    <xf numFmtId="0" fontId="36" fillId="17" borderId="9" xfId="0" applyFont="1" applyFill="1" applyBorder="1" applyAlignment="1" applyProtection="1">
      <alignment horizontal="left" vertical="center" wrapText="1"/>
      <protection locked="0"/>
    </xf>
    <xf numFmtId="0" fontId="36" fillId="17" borderId="80" xfId="0" applyFont="1" applyFill="1" applyBorder="1" applyAlignment="1" applyProtection="1">
      <alignment horizontal="left" vertical="center" wrapText="1"/>
      <protection locked="0"/>
    </xf>
    <xf numFmtId="0" fontId="36" fillId="17" borderId="79" xfId="0" applyFont="1" applyFill="1" applyBorder="1" applyAlignment="1" applyProtection="1">
      <alignment horizontal="left" vertical="center" wrapText="1"/>
      <protection locked="0"/>
    </xf>
    <xf numFmtId="0" fontId="46" fillId="7" borderId="80" xfId="0" applyFont="1" applyFill="1" applyBorder="1" applyAlignment="1" applyProtection="1">
      <alignment horizontal="left" vertical="center" wrapText="1"/>
      <protection locked="0"/>
    </xf>
    <xf numFmtId="0" fontId="36" fillId="7" borderId="79" xfId="0" applyFont="1" applyFill="1" applyBorder="1" applyAlignment="1" applyProtection="1">
      <alignment horizontal="left" vertical="center" wrapText="1"/>
      <protection locked="0"/>
    </xf>
    <xf numFmtId="0" fontId="36" fillId="7" borderId="9" xfId="0" applyFont="1" applyFill="1" applyBorder="1" applyAlignment="1" applyProtection="1">
      <alignment horizontal="left" vertical="center" wrapText="1"/>
      <protection locked="0"/>
    </xf>
    <xf numFmtId="0" fontId="36" fillId="7" borderId="80" xfId="0" applyFont="1" applyFill="1" applyBorder="1" applyAlignment="1" applyProtection="1">
      <alignment horizontal="left" vertical="center" wrapText="1"/>
      <protection locked="0"/>
    </xf>
    <xf numFmtId="0" fontId="36" fillId="18" borderId="9" xfId="0" applyFont="1" applyFill="1" applyBorder="1" applyAlignment="1" applyProtection="1">
      <alignment horizontal="left" vertical="center" wrapText="1"/>
      <protection locked="0"/>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59" fillId="4" borderId="94" xfId="0" applyNumberFormat="1" applyFont="1" applyFill="1" applyBorder="1" applyAlignment="1" applyProtection="1">
      <alignment horizontal="center" vertical="top" wrapText="1"/>
      <protection locked="0"/>
    </xf>
    <xf numFmtId="49" fontId="59" fillId="4" borderId="95" xfId="0" applyNumberFormat="1" applyFont="1" applyFill="1" applyBorder="1" applyAlignment="1" applyProtection="1">
      <alignment horizontal="center" vertical="top" wrapText="1"/>
      <protection locked="0"/>
    </xf>
    <xf numFmtId="49" fontId="59" fillId="4" borderId="96" xfId="0" applyNumberFormat="1" applyFont="1" applyFill="1" applyBorder="1" applyAlignment="1" applyProtection="1">
      <alignment horizontal="center" vertical="top" wrapText="1"/>
      <protection locked="0"/>
    </xf>
    <xf numFmtId="0" fontId="58" fillId="0" borderId="24" xfId="0" applyFont="1" applyFill="1" applyBorder="1" applyAlignment="1" applyProtection="1">
      <alignment horizontal="center" vertical="center" wrapText="1"/>
      <protection locked="0"/>
    </xf>
    <xf numFmtId="0" fontId="58" fillId="0" borderId="1" xfId="0" applyFont="1" applyFill="1" applyBorder="1" applyAlignment="1" applyProtection="1">
      <alignment horizontal="center" vertical="center"/>
      <protection locked="0"/>
    </xf>
    <xf numFmtId="0" fontId="58" fillId="0" borderId="25" xfId="0" applyFont="1" applyFill="1" applyBorder="1" applyAlignment="1" applyProtection="1">
      <alignment horizontal="center" vertical="center"/>
      <protection locked="0"/>
    </xf>
    <xf numFmtId="0" fontId="52" fillId="12" borderId="0" xfId="0" applyFont="1" applyFill="1" applyBorder="1" applyAlignment="1">
      <alignment horizontal="center" vertical="center" wrapText="1"/>
    </xf>
    <xf numFmtId="0" fontId="0" fillId="0" borderId="73" xfId="0" applyBorder="1" applyAlignment="1">
      <alignment horizontal="center"/>
    </xf>
    <xf numFmtId="0" fontId="48" fillId="0" borderId="1" xfId="0" applyFont="1" applyBorder="1" applyAlignment="1">
      <alignment horizontal="center"/>
    </xf>
  </cellXfs>
  <cellStyles count="5">
    <cellStyle name="Normal" xfId="0" builtinId="0"/>
    <cellStyle name="Normal - Style1 2" xfId="3"/>
    <cellStyle name="Normal 2" xfId="2"/>
    <cellStyle name="Normal 2 2" xfId="4"/>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90" zoomScaleNormal="90" workbookViewId="0">
      <selection activeCell="B6" sqref="B6:H7"/>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72" t="s">
        <v>0</v>
      </c>
      <c r="C2" s="173"/>
      <c r="D2" s="173"/>
      <c r="E2" s="173"/>
      <c r="F2" s="173"/>
      <c r="G2" s="173"/>
      <c r="H2" s="174"/>
    </row>
    <row r="3" spans="2:8" ht="65.25" customHeight="1" x14ac:dyDescent="0.2">
      <c r="B3" s="175" t="s">
        <v>1</v>
      </c>
      <c r="C3" s="176"/>
      <c r="D3" s="176"/>
      <c r="E3" s="176"/>
      <c r="F3" s="176"/>
      <c r="G3" s="176"/>
      <c r="H3" s="177"/>
    </row>
    <row r="4" spans="2:8" ht="82.5" customHeight="1" x14ac:dyDescent="0.2">
      <c r="B4" s="175"/>
      <c r="C4" s="176"/>
      <c r="D4" s="176"/>
      <c r="E4" s="176"/>
      <c r="F4" s="176"/>
      <c r="G4" s="176"/>
      <c r="H4" s="177"/>
    </row>
    <row r="5" spans="2:8" ht="21.75" customHeight="1" x14ac:dyDescent="0.2">
      <c r="B5" s="178" t="s">
        <v>2</v>
      </c>
      <c r="C5" s="179"/>
      <c r="D5" s="179"/>
      <c r="E5" s="179"/>
      <c r="F5" s="179"/>
      <c r="G5" s="179"/>
      <c r="H5" s="180"/>
    </row>
    <row r="6" spans="2:8" ht="42" customHeight="1" x14ac:dyDescent="0.2">
      <c r="B6" s="181" t="s">
        <v>3</v>
      </c>
      <c r="C6" s="182"/>
      <c r="D6" s="182"/>
      <c r="E6" s="182"/>
      <c r="F6" s="182"/>
      <c r="G6" s="182"/>
      <c r="H6" s="183"/>
    </row>
    <row r="7" spans="2:8" ht="14.25" customHeight="1" x14ac:dyDescent="0.2">
      <c r="B7" s="181"/>
      <c r="C7" s="182"/>
      <c r="D7" s="182"/>
      <c r="E7" s="182"/>
      <c r="F7" s="182"/>
      <c r="G7" s="182"/>
      <c r="H7" s="183"/>
    </row>
    <row r="8" spans="2:8" ht="12.75" customHeight="1" thickBot="1" x14ac:dyDescent="0.25">
      <c r="B8" s="57"/>
      <c r="C8" s="51"/>
      <c r="D8" s="67"/>
      <c r="E8" s="68"/>
      <c r="F8" s="68"/>
      <c r="G8" s="65"/>
      <c r="H8" s="66"/>
    </row>
    <row r="9" spans="2:8" ht="21" customHeight="1" thickTop="1" x14ac:dyDescent="0.2">
      <c r="B9" s="57"/>
      <c r="C9" s="184" t="s">
        <v>4</v>
      </c>
      <c r="D9" s="185"/>
      <c r="E9" s="186" t="s">
        <v>5</v>
      </c>
      <c r="F9" s="187"/>
      <c r="G9" s="51"/>
      <c r="H9" s="59"/>
    </row>
    <row r="10" spans="2:8" ht="37.5" customHeight="1" x14ac:dyDescent="0.2">
      <c r="B10" s="57"/>
      <c r="C10" s="188" t="s">
        <v>6</v>
      </c>
      <c r="D10" s="189"/>
      <c r="E10" s="190" t="s">
        <v>7</v>
      </c>
      <c r="F10" s="191"/>
      <c r="G10" s="51"/>
      <c r="H10" s="59"/>
    </row>
    <row r="11" spans="2:8" ht="39.75" customHeight="1" x14ac:dyDescent="0.2">
      <c r="B11" s="57"/>
      <c r="C11" s="192" t="s">
        <v>8</v>
      </c>
      <c r="D11" s="193"/>
      <c r="E11" s="194" t="s">
        <v>9</v>
      </c>
      <c r="F11" s="195"/>
      <c r="G11" s="51"/>
      <c r="H11" s="59"/>
    </row>
    <row r="12" spans="2:8" ht="59.25" customHeight="1" x14ac:dyDescent="0.2">
      <c r="B12" s="57"/>
      <c r="C12" s="192" t="s">
        <v>10</v>
      </c>
      <c r="D12" s="193"/>
      <c r="E12" s="196" t="s">
        <v>11</v>
      </c>
      <c r="F12" s="197"/>
      <c r="G12" s="51"/>
      <c r="H12" s="59"/>
    </row>
    <row r="13" spans="2:8" ht="33.75" customHeight="1" x14ac:dyDescent="0.2">
      <c r="B13" s="57"/>
      <c r="C13" s="202" t="s">
        <v>12</v>
      </c>
      <c r="D13" s="203"/>
      <c r="E13" s="194" t="s">
        <v>13</v>
      </c>
      <c r="F13" s="195"/>
      <c r="G13" s="51"/>
      <c r="H13" s="59"/>
    </row>
    <row r="14" spans="2:8" ht="19.5" customHeight="1" x14ac:dyDescent="0.2">
      <c r="B14" s="57"/>
      <c r="C14" s="63"/>
      <c r="D14" s="63"/>
      <c r="E14" s="64"/>
      <c r="F14" s="64"/>
      <c r="G14" s="51"/>
      <c r="H14" s="59"/>
    </row>
    <row r="15" spans="2:8" ht="37.5" customHeight="1" thickBot="1" x14ac:dyDescent="0.25">
      <c r="B15" s="198" t="s">
        <v>14</v>
      </c>
      <c r="C15" s="199"/>
      <c r="D15" s="199"/>
      <c r="E15" s="199"/>
      <c r="F15" s="199"/>
      <c r="G15" s="199"/>
      <c r="H15" s="200"/>
    </row>
    <row r="16" spans="2:8" ht="27.75" customHeight="1" thickBot="1" x14ac:dyDescent="0.25">
      <c r="B16" s="57"/>
      <c r="C16" s="204" t="s">
        <v>15</v>
      </c>
      <c r="D16" s="205"/>
      <c r="E16" s="205" t="s">
        <v>16</v>
      </c>
      <c r="F16" s="216"/>
      <c r="G16" s="51"/>
      <c r="H16" s="59"/>
    </row>
    <row r="17" spans="2:8" ht="27.75" customHeight="1" x14ac:dyDescent="0.2">
      <c r="B17" s="57"/>
      <c r="C17" s="217" t="s">
        <v>17</v>
      </c>
      <c r="D17" s="218"/>
      <c r="E17" s="219" t="s">
        <v>18</v>
      </c>
      <c r="F17" s="220"/>
      <c r="G17" s="101"/>
      <c r="H17" s="59"/>
    </row>
    <row r="18" spans="2:8" ht="41.25" customHeight="1" x14ac:dyDescent="0.2">
      <c r="B18" s="57"/>
      <c r="C18" s="206" t="s">
        <v>19</v>
      </c>
      <c r="D18" s="207"/>
      <c r="E18" s="208" t="s">
        <v>20</v>
      </c>
      <c r="F18" s="209"/>
      <c r="G18" s="102"/>
      <c r="H18" s="59"/>
    </row>
    <row r="19" spans="2:8" ht="37.5" customHeight="1" thickBot="1" x14ac:dyDescent="0.25">
      <c r="B19" s="57"/>
      <c r="C19" s="210" t="s">
        <v>21</v>
      </c>
      <c r="D19" s="211"/>
      <c r="E19" s="212" t="s">
        <v>22</v>
      </c>
      <c r="F19" s="213"/>
      <c r="G19" s="102"/>
      <c r="H19" s="59"/>
    </row>
    <row r="20" spans="2:8" ht="11.25" customHeight="1" x14ac:dyDescent="0.2">
      <c r="B20" s="52"/>
      <c r="C20" s="53"/>
      <c r="D20" s="53"/>
      <c r="E20" s="53"/>
      <c r="F20" s="53"/>
      <c r="G20" s="53"/>
      <c r="H20" s="54"/>
    </row>
    <row r="21" spans="2:8" ht="14.25" customHeight="1" x14ac:dyDescent="0.2">
      <c r="B21" s="55"/>
      <c r="C21" s="214"/>
      <c r="D21" s="214"/>
      <c r="E21" s="215"/>
      <c r="F21" s="215"/>
      <c r="G21" s="215"/>
      <c r="H21" s="56"/>
    </row>
    <row r="22" spans="2:8" ht="36" customHeight="1" x14ac:dyDescent="0.2">
      <c r="B22" s="198" t="s">
        <v>23</v>
      </c>
      <c r="C22" s="199"/>
      <c r="D22" s="199"/>
      <c r="E22" s="199"/>
      <c r="F22" s="199"/>
      <c r="G22" s="199"/>
      <c r="H22" s="200"/>
    </row>
    <row r="23" spans="2:8" ht="13.5" x14ac:dyDescent="0.2">
      <c r="B23" s="57"/>
      <c r="C23" s="58"/>
      <c r="D23" s="58"/>
      <c r="E23" s="201"/>
      <c r="F23" s="201"/>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opLeftCell="B56" zoomScale="90" zoomScaleNormal="90" workbookViewId="0">
      <selection activeCell="H61" sqref="H61"/>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46"/>
      <c r="I1" s="46"/>
      <c r="J1" s="71"/>
      <c r="K1" s="71"/>
      <c r="L1" s="72"/>
      <c r="M1" s="46"/>
      <c r="N1" s="46"/>
      <c r="O1" s="46"/>
      <c r="P1" s="46"/>
      <c r="Q1" s="46"/>
      <c r="R1" s="46"/>
      <c r="S1" s="46"/>
      <c r="T1" s="46"/>
      <c r="U1" s="46"/>
      <c r="V1" s="46"/>
      <c r="W1" s="46"/>
      <c r="X1" s="46"/>
    </row>
    <row r="2" spans="1:32" x14ac:dyDescent="0.3">
      <c r="B2" s="46"/>
      <c r="C2" s="46"/>
      <c r="D2" s="46"/>
      <c r="E2" s="69"/>
      <c r="F2" s="69"/>
      <c r="G2" s="46"/>
      <c r="H2" s="46"/>
      <c r="I2" s="46"/>
      <c r="J2" s="71"/>
      <c r="K2" s="71"/>
      <c r="L2" s="72"/>
      <c r="M2" s="46"/>
      <c r="N2" s="46"/>
      <c r="O2" s="46"/>
      <c r="P2" s="46"/>
      <c r="Q2" s="46"/>
      <c r="R2" s="46"/>
      <c r="S2" s="46"/>
      <c r="T2" s="46"/>
      <c r="U2" s="46"/>
      <c r="V2" s="46"/>
      <c r="W2" s="46"/>
      <c r="X2" s="46"/>
    </row>
    <row r="3" spans="1:32" x14ac:dyDescent="0.3">
      <c r="B3" s="46"/>
      <c r="C3" s="46"/>
      <c r="D3" s="46"/>
      <c r="E3" s="69"/>
      <c r="F3" s="69"/>
      <c r="G3" s="46"/>
      <c r="H3" s="46"/>
      <c r="I3" s="46"/>
      <c r="J3" s="71"/>
      <c r="K3" s="71"/>
      <c r="L3" s="72"/>
      <c r="M3" s="46"/>
      <c r="N3" s="46"/>
      <c r="O3" s="46"/>
      <c r="P3" s="46"/>
      <c r="Q3" s="46"/>
      <c r="R3" s="46"/>
      <c r="S3" s="46"/>
      <c r="T3" s="46"/>
      <c r="U3" s="46"/>
      <c r="V3" s="46"/>
      <c r="W3" s="46"/>
      <c r="X3" s="46"/>
    </row>
    <row r="4" spans="1:32" x14ac:dyDescent="0.3">
      <c r="B4" s="46"/>
      <c r="C4" s="46"/>
      <c r="D4" s="46"/>
      <c r="E4" s="69"/>
      <c r="F4" s="69"/>
      <c r="G4" s="46"/>
      <c r="H4" s="46"/>
      <c r="I4" s="46"/>
      <c r="J4" s="71"/>
      <c r="K4" s="71"/>
      <c r="L4" s="72"/>
      <c r="M4" s="46"/>
      <c r="N4" s="46"/>
      <c r="O4" s="46"/>
      <c r="P4" s="46"/>
      <c r="Q4" s="46"/>
      <c r="R4" s="46"/>
      <c r="S4" s="46"/>
      <c r="T4" s="46"/>
      <c r="U4" s="46"/>
      <c r="V4" s="46"/>
      <c r="W4" s="46"/>
      <c r="X4" s="46"/>
    </row>
    <row r="5" spans="1:32" x14ac:dyDescent="0.3">
      <c r="B5" s="46"/>
      <c r="C5" s="46"/>
      <c r="D5" s="46"/>
      <c r="E5" s="69"/>
      <c r="F5" s="69"/>
      <c r="G5" s="46"/>
      <c r="H5" s="46"/>
      <c r="I5" s="46"/>
      <c r="J5" s="71"/>
      <c r="K5" s="71"/>
      <c r="L5" s="72"/>
      <c r="M5" s="46"/>
      <c r="N5" s="46"/>
      <c r="O5" s="46"/>
      <c r="P5" s="46"/>
      <c r="Q5" s="46"/>
      <c r="R5" s="46"/>
      <c r="S5" s="46"/>
      <c r="T5" s="46"/>
      <c r="U5" s="46"/>
      <c r="V5" s="46"/>
      <c r="W5" s="46"/>
      <c r="X5" s="46"/>
    </row>
    <row r="6" spans="1:32" x14ac:dyDescent="0.3">
      <c r="B6" s="46"/>
      <c r="C6" s="46"/>
      <c r="D6" s="46"/>
      <c r="E6" s="69"/>
      <c r="F6" s="69"/>
      <c r="G6" s="46"/>
      <c r="H6" s="46"/>
      <c r="I6" s="46"/>
      <c r="J6" s="71"/>
      <c r="K6" s="71"/>
      <c r="L6" s="72"/>
      <c r="M6" s="46"/>
      <c r="N6" s="46"/>
      <c r="O6" s="46"/>
      <c r="P6" s="46"/>
      <c r="Q6" s="46"/>
      <c r="R6" s="46"/>
      <c r="S6" s="46"/>
      <c r="T6" s="46"/>
      <c r="U6" s="46"/>
      <c r="V6" s="46"/>
      <c r="W6" s="46"/>
      <c r="X6" s="46"/>
    </row>
    <row r="7" spans="1:32" x14ac:dyDescent="0.3">
      <c r="B7" s="46"/>
      <c r="C7" s="46"/>
      <c r="D7" s="46"/>
      <c r="E7" s="69"/>
      <c r="F7" s="69"/>
      <c r="G7" s="46"/>
      <c r="H7" s="46"/>
      <c r="I7" s="46"/>
      <c r="J7" s="71"/>
      <c r="K7" s="71"/>
      <c r="L7" s="72"/>
      <c r="M7" s="46"/>
      <c r="N7" s="46"/>
      <c r="O7" s="46"/>
      <c r="P7" s="46"/>
      <c r="Q7" s="46"/>
      <c r="R7" s="46"/>
      <c r="S7" s="46"/>
      <c r="T7" s="46"/>
      <c r="U7" s="46"/>
      <c r="V7" s="46"/>
      <c r="W7" s="46"/>
      <c r="X7" s="46"/>
    </row>
    <row r="8" spans="1:32" x14ac:dyDescent="0.3">
      <c r="B8" s="46"/>
      <c r="C8" s="46"/>
      <c r="D8" s="46"/>
      <c r="E8" s="69"/>
      <c r="F8" s="69"/>
      <c r="G8" s="46"/>
      <c r="H8" s="46"/>
      <c r="I8" s="46"/>
      <c r="J8" s="71"/>
      <c r="K8" s="71"/>
      <c r="L8" s="72"/>
      <c r="M8" s="46"/>
      <c r="N8" s="46"/>
      <c r="O8" s="46"/>
      <c r="P8" s="46"/>
      <c r="Q8" s="46"/>
      <c r="R8" s="46"/>
      <c r="S8" s="46"/>
      <c r="T8" s="46"/>
      <c r="U8" s="46"/>
      <c r="V8" s="46"/>
      <c r="W8" s="46"/>
      <c r="X8" s="46"/>
    </row>
    <row r="9" spans="1:32" x14ac:dyDescent="0.3">
      <c r="B9" s="46"/>
      <c r="C9" s="46"/>
      <c r="D9" s="46"/>
      <c r="E9" s="69"/>
      <c r="F9" s="69"/>
      <c r="G9" s="46"/>
      <c r="H9" s="46"/>
      <c r="I9" s="46"/>
      <c r="J9" s="71"/>
      <c r="K9" s="71"/>
      <c r="L9" s="72"/>
      <c r="M9" s="46"/>
      <c r="N9" s="46"/>
      <c r="O9" s="46"/>
      <c r="P9" s="46"/>
      <c r="Q9" s="46"/>
      <c r="R9" s="46"/>
      <c r="S9" s="46"/>
      <c r="T9" s="46"/>
      <c r="U9" s="46"/>
      <c r="V9" s="46"/>
      <c r="W9" s="46"/>
      <c r="X9" s="46"/>
    </row>
    <row r="10" spans="1:32" x14ac:dyDescent="0.3">
      <c r="B10" s="46"/>
      <c r="C10" s="46"/>
      <c r="D10" s="46"/>
      <c r="E10" s="69"/>
      <c r="F10" s="69"/>
      <c r="G10" s="46"/>
      <c r="H10" s="4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4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4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46"/>
      <c r="I13" s="46"/>
      <c r="J13" s="71"/>
      <c r="K13" s="71"/>
      <c r="L13" s="72"/>
      <c r="M13" s="46"/>
      <c r="N13" s="46"/>
      <c r="O13" s="46"/>
      <c r="P13" s="46"/>
      <c r="Q13" s="46"/>
      <c r="R13" s="46"/>
      <c r="S13" s="46"/>
      <c r="T13" s="46"/>
      <c r="U13" s="46"/>
      <c r="V13" s="46"/>
      <c r="W13" s="46"/>
      <c r="X13" s="46"/>
    </row>
    <row r="14" spans="1:32" s="49" customFormat="1" ht="49.5" customHeight="1" x14ac:dyDescent="0.25">
      <c r="B14" s="252" t="s">
        <v>24</v>
      </c>
      <c r="C14" s="252"/>
      <c r="D14" s="252"/>
      <c r="E14" s="252"/>
      <c r="F14" s="252"/>
      <c r="G14" s="252"/>
      <c r="H14" s="252"/>
      <c r="I14" s="252"/>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80"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62.25" customHeight="1" x14ac:dyDescent="0.25">
      <c r="A16" s="103" t="str">
        <f>1&amp;E16</f>
        <v>1a</v>
      </c>
      <c r="B16" s="263" t="s">
        <v>31</v>
      </c>
      <c r="C16" s="227" t="s">
        <v>32</v>
      </c>
      <c r="D16" s="260" t="s">
        <v>33</v>
      </c>
      <c r="E16" s="81" t="s">
        <v>34</v>
      </c>
      <c r="F16" s="82" t="s">
        <v>35</v>
      </c>
      <c r="G16" s="112" t="s">
        <v>39</v>
      </c>
      <c r="H16" s="160" t="s">
        <v>230</v>
      </c>
      <c r="I16" s="104" t="str">
        <f>+IF(G16="Si","Mantenimiento del control",IF(G16="En proceso","Oportunidad de mejora","Deficiencia de control"))</f>
        <v>Mantenimiento del control</v>
      </c>
      <c r="J16" s="105">
        <f t="shared" ref="J16:J27" si="0">+IF(G16="Si",20,IF(G16="En proceso",10,0))</f>
        <v>20</v>
      </c>
      <c r="K16" s="105">
        <v>0.123</v>
      </c>
      <c r="L16" s="105">
        <f>+J16+K16</f>
        <v>20.123000000000001</v>
      </c>
    </row>
    <row r="17" spans="1:32" s="49" customFormat="1" ht="54" customHeight="1" x14ac:dyDescent="0.25">
      <c r="A17" s="103" t="str">
        <f t="shared" ref="A17:A27" si="1">1&amp;E17</f>
        <v>1b</v>
      </c>
      <c r="B17" s="264"/>
      <c r="C17" s="228"/>
      <c r="D17" s="261"/>
      <c r="E17" s="83" t="s">
        <v>37</v>
      </c>
      <c r="F17" s="84" t="s">
        <v>38</v>
      </c>
      <c r="G17" s="113" t="s">
        <v>39</v>
      </c>
      <c r="H17" s="161" t="s">
        <v>231</v>
      </c>
      <c r="I17" s="106" t="str">
        <f t="shared" ref="I17:I59" si="2">+IF(G17="Si","Mantenimiento del control",IF(G17="En proceso","Oportunidad de mejora","Deficiencia de control"))</f>
        <v>Mantenimiento del control</v>
      </c>
      <c r="J17" s="107">
        <f t="shared" si="0"/>
        <v>20</v>
      </c>
      <c r="K17" s="105">
        <v>0.1234</v>
      </c>
      <c r="L17" s="105">
        <f t="shared" ref="L17:L59" si="3">+J17+K17</f>
        <v>20.1234</v>
      </c>
    </row>
    <row r="18" spans="1:32" s="49" customFormat="1" ht="59.25" customHeight="1" x14ac:dyDescent="0.25">
      <c r="A18" s="103" t="str">
        <f t="shared" si="1"/>
        <v>1c</v>
      </c>
      <c r="B18" s="264"/>
      <c r="C18" s="228"/>
      <c r="D18" s="261"/>
      <c r="E18" s="83" t="s">
        <v>40</v>
      </c>
      <c r="F18" s="85" t="s">
        <v>41</v>
      </c>
      <c r="G18" s="114" t="s">
        <v>39</v>
      </c>
      <c r="H18" s="161" t="s">
        <v>240</v>
      </c>
      <c r="I18" s="108" t="str">
        <f t="shared" si="2"/>
        <v>Mantenimiento del control</v>
      </c>
      <c r="J18" s="107">
        <f t="shared" si="0"/>
        <v>20</v>
      </c>
      <c r="K18" s="105">
        <v>0.12345</v>
      </c>
      <c r="L18" s="105">
        <f t="shared" si="3"/>
        <v>20.123449999999998</v>
      </c>
    </row>
    <row r="19" spans="1:32" s="49" customFormat="1" ht="57.75" customHeight="1" x14ac:dyDescent="0.25">
      <c r="A19" s="103" t="str">
        <f t="shared" si="1"/>
        <v>1d</v>
      </c>
      <c r="B19" s="264"/>
      <c r="C19" s="228"/>
      <c r="D19" s="261"/>
      <c r="E19" s="83" t="s">
        <v>42</v>
      </c>
      <c r="F19" s="85" t="s">
        <v>43</v>
      </c>
      <c r="G19" s="114" t="s">
        <v>39</v>
      </c>
      <c r="H19" s="161" t="s">
        <v>209</v>
      </c>
      <c r="I19" s="108" t="str">
        <f t="shared" si="2"/>
        <v>Mantenimiento del control</v>
      </c>
      <c r="J19" s="107">
        <f t="shared" si="0"/>
        <v>20</v>
      </c>
      <c r="K19" s="105">
        <v>0.123456</v>
      </c>
      <c r="L19" s="105">
        <f t="shared" si="3"/>
        <v>20.123456000000001</v>
      </c>
    </row>
    <row r="20" spans="1:32" s="49" customFormat="1" ht="45" customHeight="1" x14ac:dyDescent="0.25">
      <c r="A20" s="103" t="str">
        <f t="shared" si="1"/>
        <v>1e</v>
      </c>
      <c r="B20" s="264"/>
      <c r="C20" s="228"/>
      <c r="D20" s="261"/>
      <c r="E20" s="83" t="s">
        <v>44</v>
      </c>
      <c r="F20" s="85" t="s">
        <v>45</v>
      </c>
      <c r="G20" s="114" t="s">
        <v>76</v>
      </c>
      <c r="H20" s="162" t="s">
        <v>210</v>
      </c>
      <c r="I20" s="108" t="str">
        <f t="shared" si="2"/>
        <v>Oportunidad de mejora</v>
      </c>
      <c r="J20" s="107">
        <f t="shared" si="0"/>
        <v>10</v>
      </c>
      <c r="K20" s="105">
        <v>0.12345678</v>
      </c>
      <c r="L20" s="105">
        <f t="shared" si="3"/>
        <v>10.12345678</v>
      </c>
    </row>
    <row r="21" spans="1:32" s="49" customFormat="1" ht="79.5" customHeight="1" x14ac:dyDescent="0.25">
      <c r="A21" s="103" t="str">
        <f t="shared" si="1"/>
        <v>1f</v>
      </c>
      <c r="B21" s="264"/>
      <c r="C21" s="228"/>
      <c r="D21" s="261"/>
      <c r="E21" s="83" t="s">
        <v>46</v>
      </c>
      <c r="F21" s="85" t="s">
        <v>47</v>
      </c>
      <c r="G21" s="114" t="s">
        <v>39</v>
      </c>
      <c r="H21" s="163" t="s">
        <v>211</v>
      </c>
      <c r="I21" s="108" t="str">
        <f t="shared" si="2"/>
        <v>Mantenimiento del control</v>
      </c>
      <c r="J21" s="107">
        <f t="shared" si="0"/>
        <v>20</v>
      </c>
      <c r="K21" s="105">
        <v>0.123456789</v>
      </c>
      <c r="L21" s="105">
        <f t="shared" si="3"/>
        <v>20.123456788999999</v>
      </c>
    </row>
    <row r="22" spans="1:32" s="49" customFormat="1" ht="56.25" customHeight="1" x14ac:dyDescent="0.25">
      <c r="A22" s="103" t="str">
        <f t="shared" si="1"/>
        <v>1g</v>
      </c>
      <c r="B22" s="264"/>
      <c r="C22" s="228"/>
      <c r="D22" s="261"/>
      <c r="E22" s="83" t="s">
        <v>48</v>
      </c>
      <c r="F22" s="85" t="s">
        <v>49</v>
      </c>
      <c r="G22" s="114" t="s">
        <v>39</v>
      </c>
      <c r="H22" s="163" t="s">
        <v>212</v>
      </c>
      <c r="I22" s="108" t="str">
        <f t="shared" si="2"/>
        <v>Mantenimiento del control</v>
      </c>
      <c r="J22" s="107">
        <f t="shared" si="0"/>
        <v>20</v>
      </c>
      <c r="K22" s="105">
        <v>0.12345678910000001</v>
      </c>
      <c r="L22" s="105">
        <f t="shared" si="3"/>
        <v>20.1234567891</v>
      </c>
    </row>
    <row r="23" spans="1:32" s="49" customFormat="1" ht="105" customHeight="1" x14ac:dyDescent="0.25">
      <c r="A23" s="103" t="str">
        <f t="shared" si="1"/>
        <v>1h</v>
      </c>
      <c r="B23" s="264"/>
      <c r="C23" s="228"/>
      <c r="D23" s="261"/>
      <c r="E23" s="83" t="s">
        <v>50</v>
      </c>
      <c r="F23" s="85" t="s">
        <v>51</v>
      </c>
      <c r="G23" s="114" t="s">
        <v>76</v>
      </c>
      <c r="H23" s="162" t="s">
        <v>241</v>
      </c>
      <c r="I23" s="108" t="str">
        <f t="shared" si="2"/>
        <v>Oportunidad de mejora</v>
      </c>
      <c r="J23" s="107">
        <f t="shared" si="0"/>
        <v>10</v>
      </c>
      <c r="K23" s="105">
        <v>0.12345678911999999</v>
      </c>
      <c r="L23" s="105">
        <f t="shared" si="3"/>
        <v>10.12345678912</v>
      </c>
    </row>
    <row r="24" spans="1:32" s="49" customFormat="1" ht="90" customHeight="1" x14ac:dyDescent="0.25">
      <c r="A24" s="103" t="str">
        <f t="shared" si="1"/>
        <v>1i</v>
      </c>
      <c r="B24" s="264"/>
      <c r="C24" s="228"/>
      <c r="D24" s="261"/>
      <c r="E24" s="83" t="s">
        <v>52</v>
      </c>
      <c r="F24" s="85" t="s">
        <v>53</v>
      </c>
      <c r="G24" s="114" t="s">
        <v>76</v>
      </c>
      <c r="H24" s="163" t="s">
        <v>213</v>
      </c>
      <c r="I24" s="108" t="str">
        <f t="shared" si="2"/>
        <v>Oportunidad de mejora</v>
      </c>
      <c r="J24" s="107">
        <f t="shared" si="0"/>
        <v>10</v>
      </c>
      <c r="K24" s="105">
        <v>0.123456789123</v>
      </c>
      <c r="L24" s="105">
        <f t="shared" si="3"/>
        <v>10.123456789123001</v>
      </c>
    </row>
    <row r="25" spans="1:32" s="49" customFormat="1" ht="79.5" customHeight="1" x14ac:dyDescent="0.25">
      <c r="A25" s="103" t="str">
        <f t="shared" si="1"/>
        <v>1j</v>
      </c>
      <c r="B25" s="264"/>
      <c r="C25" s="228"/>
      <c r="D25" s="261"/>
      <c r="E25" s="83" t="s">
        <v>54</v>
      </c>
      <c r="F25" s="85" t="s">
        <v>55</v>
      </c>
      <c r="G25" s="114" t="s">
        <v>76</v>
      </c>
      <c r="H25" s="162" t="s">
        <v>214</v>
      </c>
      <c r="I25" s="108" t="str">
        <f t="shared" si="2"/>
        <v>Oportunidad de mejora</v>
      </c>
      <c r="J25" s="107">
        <f t="shared" si="0"/>
        <v>10</v>
      </c>
      <c r="K25" s="105">
        <v>0.1234567891234</v>
      </c>
      <c r="L25" s="105">
        <f t="shared" si="3"/>
        <v>10.1234567891234</v>
      </c>
    </row>
    <row r="26" spans="1:32" s="49" customFormat="1" ht="115.5" customHeight="1" x14ac:dyDescent="0.25">
      <c r="A26" s="103" t="str">
        <f t="shared" si="1"/>
        <v>1k</v>
      </c>
      <c r="B26" s="264"/>
      <c r="C26" s="228"/>
      <c r="D26" s="261"/>
      <c r="E26" s="83" t="s">
        <v>56</v>
      </c>
      <c r="F26" s="85" t="s">
        <v>57</v>
      </c>
      <c r="G26" s="114" t="s">
        <v>39</v>
      </c>
      <c r="H26" s="163" t="s">
        <v>191</v>
      </c>
      <c r="I26" s="108" t="str">
        <f t="shared" si="2"/>
        <v>Mantenimiento del control</v>
      </c>
      <c r="J26" s="107">
        <f t="shared" si="0"/>
        <v>20</v>
      </c>
      <c r="K26" s="105">
        <v>0.12345678912345</v>
      </c>
      <c r="L26" s="105">
        <f t="shared" si="3"/>
        <v>20.123456789123448</v>
      </c>
    </row>
    <row r="27" spans="1:32" s="49" customFormat="1" ht="79.5" thickBot="1" x14ac:dyDescent="0.3">
      <c r="A27" s="103" t="str">
        <f t="shared" si="1"/>
        <v>1l</v>
      </c>
      <c r="B27" s="265"/>
      <c r="C27" s="229"/>
      <c r="D27" s="262"/>
      <c r="E27" s="86" t="s">
        <v>58</v>
      </c>
      <c r="F27" s="87" t="s">
        <v>59</v>
      </c>
      <c r="G27" s="115" t="s">
        <v>76</v>
      </c>
      <c r="H27" s="167" t="s">
        <v>199</v>
      </c>
      <c r="I27" s="109" t="str">
        <f t="shared" si="2"/>
        <v>Oportunidad de mejora</v>
      </c>
      <c r="J27" s="107">
        <f t="shared" si="0"/>
        <v>10</v>
      </c>
      <c r="K27" s="105">
        <v>0.12345678912345601</v>
      </c>
      <c r="L27" s="105">
        <f t="shared" si="3"/>
        <v>10.123456789123455</v>
      </c>
    </row>
    <row r="28" spans="1:32" s="49" customFormat="1" ht="44.25" customHeight="1" x14ac:dyDescent="0.25">
      <c r="A28" s="103" t="str">
        <f>2&amp;E28</f>
        <v>2a</v>
      </c>
      <c r="B28" s="266" t="s">
        <v>60</v>
      </c>
      <c r="C28" s="230" t="s">
        <v>61</v>
      </c>
      <c r="D28" s="269" t="s">
        <v>62</v>
      </c>
      <c r="E28" s="81" t="s">
        <v>34</v>
      </c>
      <c r="F28" s="82" t="s">
        <v>63</v>
      </c>
      <c r="G28" s="112" t="s">
        <v>39</v>
      </c>
      <c r="H28" s="166" t="s">
        <v>229</v>
      </c>
      <c r="I28" s="104" t="str">
        <f t="shared" si="2"/>
        <v>Mantenimiento del control</v>
      </c>
      <c r="J28" s="105">
        <f>+IF(G28="Si",40,IF(G28="En proceso",30,20))</f>
        <v>40</v>
      </c>
      <c r="K28" s="105">
        <v>0.23</v>
      </c>
      <c r="L28" s="105">
        <f t="shared" si="3"/>
        <v>40.229999999999997</v>
      </c>
    </row>
    <row r="29" spans="1:32" s="49" customFormat="1" ht="63" x14ac:dyDescent="0.25">
      <c r="A29" s="103" t="str">
        <f t="shared" ref="A29:A31" si="4">2&amp;E29</f>
        <v>2b</v>
      </c>
      <c r="B29" s="267"/>
      <c r="C29" s="231"/>
      <c r="D29" s="245"/>
      <c r="E29" s="83" t="s">
        <v>37</v>
      </c>
      <c r="F29" s="85" t="s">
        <v>64</v>
      </c>
      <c r="G29" s="114" t="s">
        <v>39</v>
      </c>
      <c r="H29" s="164" t="s">
        <v>215</v>
      </c>
      <c r="I29" s="108" t="str">
        <f t="shared" si="2"/>
        <v>Mantenimiento del control</v>
      </c>
      <c r="J29" s="105">
        <f>+IF(G29="Si",40,IF(G29="En proceso",30,20))</f>
        <v>40</v>
      </c>
      <c r="K29" s="105">
        <v>0.23400000000000001</v>
      </c>
      <c r="L29" s="105">
        <f t="shared" si="3"/>
        <v>40.234000000000002</v>
      </c>
    </row>
    <row r="30" spans="1:32" s="49" customFormat="1" ht="66" x14ac:dyDescent="0.25">
      <c r="A30" s="103" t="str">
        <f t="shared" si="4"/>
        <v>2c</v>
      </c>
      <c r="B30" s="267"/>
      <c r="C30" s="231"/>
      <c r="D30" s="245"/>
      <c r="E30" s="83" t="s">
        <v>40</v>
      </c>
      <c r="F30" s="85" t="s">
        <v>65</v>
      </c>
      <c r="G30" s="114" t="s">
        <v>39</v>
      </c>
      <c r="H30" s="164" t="s">
        <v>216</v>
      </c>
      <c r="I30" s="108" t="str">
        <f t="shared" si="2"/>
        <v>Mantenimiento del control</v>
      </c>
      <c r="J30" s="105">
        <f>+IF(G30="Si",40,IF(G30="En proceso",30,20))</f>
        <v>40</v>
      </c>
      <c r="K30" s="105">
        <v>0.23449999999999999</v>
      </c>
      <c r="L30" s="105">
        <f t="shared" si="3"/>
        <v>40.234499999999997</v>
      </c>
    </row>
    <row r="31" spans="1:32" s="49" customFormat="1" ht="66.75" thickBot="1" x14ac:dyDescent="0.3">
      <c r="A31" s="103" t="str">
        <f t="shared" si="4"/>
        <v>2d</v>
      </c>
      <c r="B31" s="268"/>
      <c r="C31" s="232"/>
      <c r="D31" s="270"/>
      <c r="E31" s="86" t="s">
        <v>42</v>
      </c>
      <c r="F31" s="87" t="s">
        <v>66</v>
      </c>
      <c r="G31" s="115" t="s">
        <v>39</v>
      </c>
      <c r="H31" s="165" t="s">
        <v>192</v>
      </c>
      <c r="I31" s="109" t="str">
        <f t="shared" si="2"/>
        <v>Mantenimiento del control</v>
      </c>
      <c r="J31" s="105">
        <f>+IF(G31="Si",40,IF(G31="En proceso",30,20))</f>
        <v>40</v>
      </c>
      <c r="K31" s="105">
        <v>0.23455999999999999</v>
      </c>
      <c r="L31" s="105">
        <f t="shared" si="3"/>
        <v>40.234560000000002</v>
      </c>
    </row>
    <row r="32" spans="1:32" s="49" customFormat="1" ht="49.5" customHeight="1" x14ac:dyDescent="0.25">
      <c r="A32" s="103" t="str">
        <f>3&amp;E32</f>
        <v>3a</v>
      </c>
      <c r="B32" s="242" t="s">
        <v>67</v>
      </c>
      <c r="C32" s="242" t="s">
        <v>61</v>
      </c>
      <c r="D32" s="243" t="s">
        <v>68</v>
      </c>
      <c r="E32" s="88" t="s">
        <v>34</v>
      </c>
      <c r="F32" s="85" t="s">
        <v>69</v>
      </c>
      <c r="G32" s="114" t="s">
        <v>39</v>
      </c>
      <c r="H32" s="164" t="s">
        <v>193</v>
      </c>
      <c r="I32" s="108" t="str">
        <f t="shared" si="2"/>
        <v>Mantenimiento del control</v>
      </c>
      <c r="J32" s="105">
        <f t="shared" ref="J32:J37" si="5">+IF(G32="Si",40,IF(G32="En proceso",30,20))</f>
        <v>40</v>
      </c>
      <c r="K32" s="110">
        <v>0.234567</v>
      </c>
      <c r="L32" s="105">
        <f t="shared" ref="L32:L37" si="6">+J32+K32</f>
        <v>40.234566999999998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49.5" customHeight="1" x14ac:dyDescent="0.25">
      <c r="A33" s="103" t="str">
        <f t="shared" ref="A33:A34" si="7">3&amp;E33</f>
        <v>3b</v>
      </c>
      <c r="B33" s="242"/>
      <c r="C33" s="242"/>
      <c r="D33" s="243"/>
      <c r="E33" s="88" t="s">
        <v>37</v>
      </c>
      <c r="F33" s="85" t="s">
        <v>70</v>
      </c>
      <c r="G33" s="114" t="s">
        <v>39</v>
      </c>
      <c r="H33" s="164" t="s">
        <v>217</v>
      </c>
      <c r="I33" s="108" t="str">
        <f t="shared" si="2"/>
        <v>Mantenimiento del control</v>
      </c>
      <c r="J33" s="105">
        <f t="shared" si="5"/>
        <v>40</v>
      </c>
      <c r="K33" s="110">
        <v>0.23456779999999999</v>
      </c>
      <c r="L33" s="105">
        <f t="shared" si="6"/>
        <v>40.234567800000001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6" customHeight="1" thickBot="1" x14ac:dyDescent="0.3">
      <c r="A34" s="103" t="str">
        <f t="shared" si="7"/>
        <v>3c</v>
      </c>
      <c r="B34" s="242"/>
      <c r="C34" s="242"/>
      <c r="D34" s="243"/>
      <c r="E34" s="88" t="s">
        <v>40</v>
      </c>
      <c r="F34" s="85" t="s">
        <v>71</v>
      </c>
      <c r="G34" s="114" t="s">
        <v>39</v>
      </c>
      <c r="H34" s="164" t="s">
        <v>200</v>
      </c>
      <c r="I34" s="108" t="str">
        <f t="shared" si="2"/>
        <v>Mantenimiento del control</v>
      </c>
      <c r="J34" s="105">
        <f t="shared" si="5"/>
        <v>40</v>
      </c>
      <c r="K34" s="110">
        <v>0.23456789</v>
      </c>
      <c r="L34" s="105">
        <f t="shared" si="6"/>
        <v>40.234567890000001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66" customHeight="1" x14ac:dyDescent="0.25">
      <c r="A35" s="103" t="str">
        <f>4&amp;E35</f>
        <v>4a</v>
      </c>
      <c r="B35" s="244" t="s">
        <v>72</v>
      </c>
      <c r="C35" s="231" t="s">
        <v>61</v>
      </c>
      <c r="D35" s="245" t="s">
        <v>73</v>
      </c>
      <c r="E35" s="81" t="s">
        <v>34</v>
      </c>
      <c r="F35" s="82" t="s">
        <v>74</v>
      </c>
      <c r="G35" s="112" t="s">
        <v>76</v>
      </c>
      <c r="H35" s="168" t="s">
        <v>201</v>
      </c>
      <c r="I35" s="104" t="str">
        <f t="shared" si="2"/>
        <v>Oportunidad de mejora</v>
      </c>
      <c r="J35" s="105">
        <f t="shared" si="5"/>
        <v>30</v>
      </c>
      <c r="K35" s="110">
        <v>0.23456789119999999</v>
      </c>
      <c r="L35" s="105">
        <f t="shared" si="6"/>
        <v>30.234567891200001</v>
      </c>
      <c r="M35" s="48"/>
      <c r="N35" s="48"/>
      <c r="O35" s="48"/>
      <c r="P35" s="48"/>
      <c r="Q35" s="48"/>
    </row>
    <row r="36" spans="1:32" s="49" customFormat="1" ht="68.25" customHeight="1" x14ac:dyDescent="0.25">
      <c r="A36" s="103" t="str">
        <f t="shared" ref="A36:A37" si="8">4&amp;E36</f>
        <v>4b</v>
      </c>
      <c r="B36" s="244"/>
      <c r="C36" s="231"/>
      <c r="D36" s="245"/>
      <c r="E36" s="83" t="s">
        <v>37</v>
      </c>
      <c r="F36" s="85" t="s">
        <v>75</v>
      </c>
      <c r="G36" s="114" t="s">
        <v>76</v>
      </c>
      <c r="H36" s="169" t="s">
        <v>218</v>
      </c>
      <c r="I36" s="108" t="str">
        <f t="shared" si="2"/>
        <v>Oportunidad de mejora</v>
      </c>
      <c r="J36" s="105">
        <f t="shared" si="5"/>
        <v>30</v>
      </c>
      <c r="K36" s="110">
        <v>0.23456789122999999</v>
      </c>
      <c r="L36" s="105">
        <f t="shared" si="6"/>
        <v>30.23456789123</v>
      </c>
      <c r="M36" s="48"/>
      <c r="N36" s="48"/>
      <c r="O36" s="48"/>
      <c r="P36" s="48"/>
      <c r="Q36" s="48"/>
    </row>
    <row r="37" spans="1:32" s="49" customFormat="1" ht="49.5" customHeight="1" thickBot="1" x14ac:dyDescent="0.3">
      <c r="A37" s="103" t="str">
        <f t="shared" si="8"/>
        <v>4c</v>
      </c>
      <c r="B37" s="244"/>
      <c r="C37" s="231"/>
      <c r="D37" s="245"/>
      <c r="E37" s="83" t="s">
        <v>40</v>
      </c>
      <c r="F37" s="85" t="s">
        <v>77</v>
      </c>
      <c r="G37" s="114" t="s">
        <v>39</v>
      </c>
      <c r="H37" s="164" t="s">
        <v>194</v>
      </c>
      <c r="I37" s="108" t="str">
        <f t="shared" si="2"/>
        <v>Mantenimiento del control</v>
      </c>
      <c r="J37" s="105">
        <f t="shared" si="5"/>
        <v>40</v>
      </c>
      <c r="K37" s="110">
        <v>0.23456789123399999</v>
      </c>
      <c r="L37" s="105">
        <f t="shared" si="6"/>
        <v>40.234567891234001</v>
      </c>
      <c r="M37" s="48"/>
      <c r="N37" s="48"/>
      <c r="O37" s="48"/>
      <c r="P37" s="48"/>
      <c r="Q37" s="48"/>
    </row>
    <row r="38" spans="1:32" s="49" customFormat="1" ht="85.5" customHeight="1" x14ac:dyDescent="0.25">
      <c r="A38" s="103" t="str">
        <f>5&amp;E38</f>
        <v>5a</v>
      </c>
      <c r="B38" s="246" t="s">
        <v>78</v>
      </c>
      <c r="C38" s="233" t="s">
        <v>79</v>
      </c>
      <c r="D38" s="249" t="s">
        <v>80</v>
      </c>
      <c r="E38" s="81" t="s">
        <v>34</v>
      </c>
      <c r="F38" s="89" t="s">
        <v>81</v>
      </c>
      <c r="G38" s="116" t="s">
        <v>39</v>
      </c>
      <c r="H38" s="166" t="s">
        <v>202</v>
      </c>
      <c r="I38" s="111" t="str">
        <f t="shared" si="2"/>
        <v>Mantenimiento del control</v>
      </c>
      <c r="J38" s="105">
        <f>+IF(G38="Si",60,IF(G38="En proceso",50,40))</f>
        <v>60</v>
      </c>
      <c r="K38" s="105">
        <v>0.31</v>
      </c>
      <c r="L38" s="105">
        <f t="shared" si="3"/>
        <v>60.31</v>
      </c>
    </row>
    <row r="39" spans="1:32" s="49" customFormat="1" ht="63" x14ac:dyDescent="0.25">
      <c r="A39" s="103" t="str">
        <f t="shared" ref="A39:A42" si="9">5&amp;E39</f>
        <v>5b</v>
      </c>
      <c r="B39" s="247"/>
      <c r="C39" s="234"/>
      <c r="D39" s="250"/>
      <c r="E39" s="83" t="s">
        <v>37</v>
      </c>
      <c r="F39" s="85" t="s">
        <v>82</v>
      </c>
      <c r="G39" s="114" t="s">
        <v>76</v>
      </c>
      <c r="H39" s="169" t="s">
        <v>226</v>
      </c>
      <c r="I39" s="108" t="str">
        <f t="shared" si="2"/>
        <v>Oportunidad de mejora</v>
      </c>
      <c r="J39" s="105">
        <f>+IF(G39="Si",60,IF(G39="En proceso",50,40))</f>
        <v>50</v>
      </c>
      <c r="K39" s="105">
        <v>0.32300000000000001</v>
      </c>
      <c r="L39" s="105">
        <f t="shared" si="3"/>
        <v>50.323</v>
      </c>
    </row>
    <row r="40" spans="1:32" s="49" customFormat="1" ht="57.75" customHeight="1" x14ac:dyDescent="0.25">
      <c r="A40" s="103" t="str">
        <f t="shared" si="9"/>
        <v>5c</v>
      </c>
      <c r="B40" s="247"/>
      <c r="C40" s="234"/>
      <c r="D40" s="250"/>
      <c r="E40" s="83" t="s">
        <v>40</v>
      </c>
      <c r="F40" s="85" t="s">
        <v>83</v>
      </c>
      <c r="G40" s="114" t="s">
        <v>76</v>
      </c>
      <c r="H40" s="169" t="s">
        <v>227</v>
      </c>
      <c r="I40" s="108" t="str">
        <f t="shared" si="2"/>
        <v>Oportunidad de mejora</v>
      </c>
      <c r="J40" s="105">
        <f>+IF(G40="Si",60,IF(G40="En proceso",50,40))</f>
        <v>50</v>
      </c>
      <c r="K40" s="105">
        <v>0.32400000000000001</v>
      </c>
      <c r="L40" s="105">
        <f t="shared" si="3"/>
        <v>50.323999999999998</v>
      </c>
    </row>
    <row r="41" spans="1:32" s="49" customFormat="1" ht="94.5" x14ac:dyDescent="0.25">
      <c r="A41" s="103" t="str">
        <f t="shared" si="9"/>
        <v>5d</v>
      </c>
      <c r="B41" s="247"/>
      <c r="C41" s="234"/>
      <c r="D41" s="250"/>
      <c r="E41" s="83" t="s">
        <v>42</v>
      </c>
      <c r="F41" s="85" t="s">
        <v>84</v>
      </c>
      <c r="G41" s="114" t="s">
        <v>76</v>
      </c>
      <c r="H41" s="169" t="s">
        <v>232</v>
      </c>
      <c r="I41" s="108" t="str">
        <f t="shared" si="2"/>
        <v>Oportunidad de mejora</v>
      </c>
      <c r="J41" s="105">
        <f>+IF(G41="Si",60,IF(G41="En proceso",50,40))</f>
        <v>50</v>
      </c>
      <c r="K41" s="105">
        <v>0.32500000000000001</v>
      </c>
      <c r="L41" s="105">
        <f t="shared" si="3"/>
        <v>50.325000000000003</v>
      </c>
    </row>
    <row r="42" spans="1:32" s="49" customFormat="1" ht="50.25" thickBot="1" x14ac:dyDescent="0.3">
      <c r="A42" s="103" t="str">
        <f t="shared" si="9"/>
        <v>5e</v>
      </c>
      <c r="B42" s="248"/>
      <c r="C42" s="235"/>
      <c r="D42" s="251"/>
      <c r="E42" s="86" t="s">
        <v>44</v>
      </c>
      <c r="F42" s="87" t="s">
        <v>85</v>
      </c>
      <c r="G42" s="115" t="s">
        <v>39</v>
      </c>
      <c r="H42" s="165" t="s">
        <v>207</v>
      </c>
      <c r="I42" s="109" t="str">
        <f t="shared" si="2"/>
        <v>Mantenimiento del control</v>
      </c>
      <c r="J42" s="105">
        <f>+IF(G42="Si",60,IF(G42="En proceso",50,40))</f>
        <v>60</v>
      </c>
      <c r="K42" s="105">
        <v>0.32600000000000001</v>
      </c>
      <c r="L42" s="105">
        <f t="shared" si="3"/>
        <v>60.326000000000001</v>
      </c>
    </row>
    <row r="43" spans="1:32" s="49" customFormat="1" ht="48.75" customHeight="1" x14ac:dyDescent="0.25">
      <c r="A43" s="103" t="str">
        <f>6&amp;E43</f>
        <v>6a</v>
      </c>
      <c r="B43" s="256" t="s">
        <v>86</v>
      </c>
      <c r="C43" s="236" t="s">
        <v>87</v>
      </c>
      <c r="D43" s="253" t="s">
        <v>88</v>
      </c>
      <c r="E43" s="81" t="s">
        <v>34</v>
      </c>
      <c r="F43" s="82" t="s">
        <v>89</v>
      </c>
      <c r="G43" s="116" t="s">
        <v>39</v>
      </c>
      <c r="H43" s="166" t="s">
        <v>195</v>
      </c>
      <c r="I43" s="104" t="str">
        <f t="shared" si="2"/>
        <v>Mantenimiento del control</v>
      </c>
      <c r="J43" s="105">
        <f t="shared" ref="J43:J49" si="10">+IF(G43="Si",80,IF(G43="En proceso",70,60))</f>
        <v>80</v>
      </c>
      <c r="K43" s="105">
        <v>0.41199999999999998</v>
      </c>
      <c r="L43" s="105">
        <f t="shared" si="3"/>
        <v>80.412000000000006</v>
      </c>
    </row>
    <row r="44" spans="1:32" s="49" customFormat="1" ht="33" customHeight="1" x14ac:dyDescent="0.25">
      <c r="A44" s="103" t="str">
        <f t="shared" ref="A44:A49" si="11">6&amp;E44</f>
        <v>6b</v>
      </c>
      <c r="B44" s="257"/>
      <c r="C44" s="237"/>
      <c r="D44" s="254"/>
      <c r="E44" s="83" t="s">
        <v>37</v>
      </c>
      <c r="F44" s="85" t="s">
        <v>90</v>
      </c>
      <c r="G44" s="114" t="s">
        <v>39</v>
      </c>
      <c r="H44" s="164" t="s">
        <v>219</v>
      </c>
      <c r="I44" s="108" t="str">
        <f t="shared" si="2"/>
        <v>Mantenimiento del control</v>
      </c>
      <c r="J44" s="105">
        <f t="shared" si="10"/>
        <v>80</v>
      </c>
      <c r="K44" s="105">
        <v>0.4123</v>
      </c>
      <c r="L44" s="105">
        <f t="shared" si="3"/>
        <v>80.412300000000002</v>
      </c>
    </row>
    <row r="45" spans="1:32" s="49" customFormat="1" ht="47.25" x14ac:dyDescent="0.25">
      <c r="A45" s="103" t="str">
        <f t="shared" si="11"/>
        <v>6c</v>
      </c>
      <c r="B45" s="257"/>
      <c r="C45" s="237"/>
      <c r="D45" s="254"/>
      <c r="E45" s="83" t="s">
        <v>40</v>
      </c>
      <c r="F45" s="85" t="s">
        <v>91</v>
      </c>
      <c r="G45" s="114" t="s">
        <v>39</v>
      </c>
      <c r="H45" s="164" t="s">
        <v>206</v>
      </c>
      <c r="I45" s="108" t="str">
        <f t="shared" si="2"/>
        <v>Mantenimiento del control</v>
      </c>
      <c r="J45" s="105">
        <f t="shared" si="10"/>
        <v>80</v>
      </c>
      <c r="K45" s="105">
        <v>0.41233999999999998</v>
      </c>
      <c r="L45" s="105">
        <f t="shared" si="3"/>
        <v>80.41234</v>
      </c>
    </row>
    <row r="46" spans="1:32" s="49" customFormat="1" ht="39.75" customHeight="1" x14ac:dyDescent="0.25">
      <c r="A46" s="103" t="str">
        <f t="shared" si="11"/>
        <v>6d</v>
      </c>
      <c r="B46" s="257"/>
      <c r="C46" s="237"/>
      <c r="D46" s="254"/>
      <c r="E46" s="83" t="s">
        <v>42</v>
      </c>
      <c r="F46" s="85" t="s">
        <v>92</v>
      </c>
      <c r="G46" s="114" t="s">
        <v>36</v>
      </c>
      <c r="H46" s="159" t="s">
        <v>208</v>
      </c>
      <c r="I46" s="108" t="str">
        <f t="shared" si="2"/>
        <v>Deficiencia de control</v>
      </c>
      <c r="J46" s="105">
        <f t="shared" si="10"/>
        <v>60</v>
      </c>
      <c r="K46" s="105">
        <v>0.41234500000000002</v>
      </c>
      <c r="L46" s="105">
        <f t="shared" si="3"/>
        <v>60.412345000000002</v>
      </c>
    </row>
    <row r="47" spans="1:32" s="49" customFormat="1" ht="54.75" customHeight="1" x14ac:dyDescent="0.25">
      <c r="A47" s="103" t="str">
        <f t="shared" si="11"/>
        <v>6e</v>
      </c>
      <c r="B47" s="257"/>
      <c r="C47" s="237"/>
      <c r="D47" s="254"/>
      <c r="E47" s="83" t="s">
        <v>44</v>
      </c>
      <c r="F47" s="85" t="s">
        <v>93</v>
      </c>
      <c r="G47" s="114" t="s">
        <v>39</v>
      </c>
      <c r="H47" s="171" t="s">
        <v>220</v>
      </c>
      <c r="I47" s="108" t="str">
        <f t="shared" si="2"/>
        <v>Mantenimiento del control</v>
      </c>
      <c r="J47" s="105">
        <f t="shared" si="10"/>
        <v>80</v>
      </c>
      <c r="K47" s="105">
        <v>0.41234559999999998</v>
      </c>
      <c r="L47" s="105">
        <f t="shared" si="3"/>
        <v>80.412345599999995</v>
      </c>
    </row>
    <row r="48" spans="1:32" s="49" customFormat="1" ht="63" x14ac:dyDescent="0.25">
      <c r="A48" s="103" t="str">
        <f t="shared" si="11"/>
        <v>6f</v>
      </c>
      <c r="B48" s="257"/>
      <c r="C48" s="237"/>
      <c r="D48" s="254"/>
      <c r="E48" s="83" t="s">
        <v>46</v>
      </c>
      <c r="F48" s="85" t="s">
        <v>94</v>
      </c>
      <c r="G48" s="114" t="s">
        <v>39</v>
      </c>
      <c r="H48" s="164" t="s">
        <v>196</v>
      </c>
      <c r="I48" s="108" t="str">
        <f t="shared" si="2"/>
        <v>Mantenimiento del control</v>
      </c>
      <c r="J48" s="105">
        <f t="shared" si="10"/>
        <v>80</v>
      </c>
      <c r="K48" s="105">
        <v>0.41234567</v>
      </c>
      <c r="L48" s="105">
        <f t="shared" si="3"/>
        <v>80.412345669999993</v>
      </c>
    </row>
    <row r="49" spans="1:17" s="49" customFormat="1" ht="66.75" thickBot="1" x14ac:dyDescent="0.3">
      <c r="A49" s="103" t="str">
        <f t="shared" si="11"/>
        <v>6g</v>
      </c>
      <c r="B49" s="258"/>
      <c r="C49" s="238"/>
      <c r="D49" s="255"/>
      <c r="E49" s="86" t="s">
        <v>48</v>
      </c>
      <c r="F49" s="87" t="s">
        <v>95</v>
      </c>
      <c r="G49" s="115" t="s">
        <v>76</v>
      </c>
      <c r="H49" s="170" t="s">
        <v>203</v>
      </c>
      <c r="I49" s="109" t="str">
        <f t="shared" si="2"/>
        <v>Oportunidad de mejora</v>
      </c>
      <c r="J49" s="105">
        <f t="shared" si="10"/>
        <v>70</v>
      </c>
      <c r="K49" s="105">
        <v>0.41234567799999999</v>
      </c>
      <c r="L49" s="105">
        <f t="shared" si="3"/>
        <v>70.412345677999994</v>
      </c>
    </row>
    <row r="50" spans="1:17" s="49" customFormat="1" ht="75.75" customHeight="1" thickBot="1" x14ac:dyDescent="0.3">
      <c r="A50" s="103" t="str">
        <f>7&amp;E50</f>
        <v>7a</v>
      </c>
      <c r="B50" s="224" t="s">
        <v>96</v>
      </c>
      <c r="C50" s="239" t="s">
        <v>97</v>
      </c>
      <c r="D50" s="221" t="s">
        <v>98</v>
      </c>
      <c r="E50" s="81" t="s">
        <v>34</v>
      </c>
      <c r="F50" s="82" t="s">
        <v>99</v>
      </c>
      <c r="G50" s="112" t="s">
        <v>39</v>
      </c>
      <c r="H50" s="166" t="s">
        <v>221</v>
      </c>
      <c r="I50" s="104" t="str">
        <f t="shared" si="2"/>
        <v>Mantenimiento del control</v>
      </c>
      <c r="J50" s="105">
        <f>+IF(G50="Si",120,IF(G50="En proceso",100,80))</f>
        <v>120</v>
      </c>
      <c r="K50" s="105">
        <v>0.85099999999999998</v>
      </c>
      <c r="L50" s="105">
        <f t="shared" si="3"/>
        <v>120.851</v>
      </c>
    </row>
    <row r="51" spans="1:17" s="49" customFormat="1" ht="87" customHeight="1" x14ac:dyDescent="0.25">
      <c r="A51" s="103" t="str">
        <f t="shared" ref="A51:A53" si="12">7&amp;E51</f>
        <v>7d</v>
      </c>
      <c r="B51" s="225"/>
      <c r="C51" s="240"/>
      <c r="D51" s="222"/>
      <c r="E51" s="83" t="s">
        <v>42</v>
      </c>
      <c r="F51" s="85" t="s">
        <v>100</v>
      </c>
      <c r="G51" s="114" t="s">
        <v>39</v>
      </c>
      <c r="H51" s="166" t="s">
        <v>228</v>
      </c>
      <c r="I51" s="108" t="str">
        <f t="shared" si="2"/>
        <v>Mantenimiento del control</v>
      </c>
      <c r="J51" s="105">
        <f t="shared" ref="J51:J59" si="13">+IF(G51="Si",120,IF(G51="En proceso",100,80))</f>
        <v>120</v>
      </c>
      <c r="K51" s="105">
        <v>0.85119999999999996</v>
      </c>
      <c r="L51" s="105">
        <f t="shared" si="3"/>
        <v>120.85120000000001</v>
      </c>
    </row>
    <row r="52" spans="1:17" s="49" customFormat="1" ht="66" x14ac:dyDescent="0.25">
      <c r="A52" s="103" t="str">
        <f t="shared" si="12"/>
        <v>7f</v>
      </c>
      <c r="B52" s="225"/>
      <c r="C52" s="240"/>
      <c r="D52" s="222"/>
      <c r="E52" s="83" t="s">
        <v>46</v>
      </c>
      <c r="F52" s="85" t="s">
        <v>101</v>
      </c>
      <c r="G52" s="114" t="s">
        <v>39</v>
      </c>
      <c r="H52" s="164" t="s">
        <v>197</v>
      </c>
      <c r="I52" s="108" t="str">
        <f t="shared" si="2"/>
        <v>Mantenimiento del control</v>
      </c>
      <c r="J52" s="105">
        <f t="shared" si="13"/>
        <v>120</v>
      </c>
      <c r="K52" s="105">
        <v>0.85123000000000004</v>
      </c>
      <c r="L52" s="105">
        <f t="shared" si="3"/>
        <v>120.85123</v>
      </c>
    </row>
    <row r="53" spans="1:17" s="49" customFormat="1" ht="48" thickBot="1" x14ac:dyDescent="0.3">
      <c r="A53" s="103" t="str">
        <f t="shared" si="12"/>
        <v>7g</v>
      </c>
      <c r="B53" s="226"/>
      <c r="C53" s="241"/>
      <c r="D53" s="259"/>
      <c r="E53" s="86" t="s">
        <v>48</v>
      </c>
      <c r="F53" s="87" t="s">
        <v>102</v>
      </c>
      <c r="G53" s="115" t="s">
        <v>39</v>
      </c>
      <c r="H53" s="165" t="s">
        <v>222</v>
      </c>
      <c r="I53" s="109" t="str">
        <f t="shared" si="2"/>
        <v>Mantenimiento del control</v>
      </c>
      <c r="J53" s="105">
        <f t="shared" si="13"/>
        <v>120</v>
      </c>
      <c r="K53" s="105">
        <v>0.85123400000000005</v>
      </c>
      <c r="L53" s="105">
        <f t="shared" si="3"/>
        <v>120.85123400000001</v>
      </c>
    </row>
    <row r="54" spans="1:17" s="49" customFormat="1" ht="75.75" customHeight="1" thickBot="1" x14ac:dyDescent="0.3">
      <c r="A54" s="103" t="str">
        <f>8&amp;E54</f>
        <v>8h</v>
      </c>
      <c r="B54" s="157" t="s">
        <v>103</v>
      </c>
      <c r="C54" s="158" t="s">
        <v>97</v>
      </c>
      <c r="D54" s="76" t="s">
        <v>104</v>
      </c>
      <c r="E54" s="81" t="s">
        <v>50</v>
      </c>
      <c r="F54" s="82" t="s">
        <v>105</v>
      </c>
      <c r="G54" s="112" t="s">
        <v>39</v>
      </c>
      <c r="H54" s="166" t="s">
        <v>198</v>
      </c>
      <c r="I54" s="104" t="str">
        <f t="shared" si="2"/>
        <v>Mantenimiento del control</v>
      </c>
      <c r="J54" s="105">
        <f t="shared" si="13"/>
        <v>120</v>
      </c>
      <c r="K54" s="105">
        <v>0.85123450000000001</v>
      </c>
      <c r="L54" s="105">
        <f t="shared" si="3"/>
        <v>120.8512345</v>
      </c>
    </row>
    <row r="55" spans="1:17" s="49" customFormat="1" ht="69" customHeight="1" thickBot="1" x14ac:dyDescent="0.3">
      <c r="A55" s="103" t="str">
        <f>9&amp;E55</f>
        <v>9a</v>
      </c>
      <c r="B55" s="224" t="s">
        <v>106</v>
      </c>
      <c r="C55" s="239" t="s">
        <v>97</v>
      </c>
      <c r="D55" s="221" t="s">
        <v>107</v>
      </c>
      <c r="E55" s="81" t="s">
        <v>34</v>
      </c>
      <c r="F55" s="82" t="s">
        <v>108</v>
      </c>
      <c r="G55" s="112" t="s">
        <v>76</v>
      </c>
      <c r="H55" s="168" t="s">
        <v>223</v>
      </c>
      <c r="I55" s="104" t="str">
        <f t="shared" si="2"/>
        <v>Oportunidad de mejora</v>
      </c>
      <c r="J55" s="105">
        <f t="shared" si="13"/>
        <v>100</v>
      </c>
      <c r="K55" s="110">
        <v>0.85123455999999997</v>
      </c>
      <c r="L55" s="105">
        <f t="shared" si="3"/>
        <v>100.85123455999999</v>
      </c>
      <c r="M55" s="48"/>
      <c r="N55" s="48"/>
      <c r="O55" s="48"/>
      <c r="P55" s="48"/>
      <c r="Q55" s="48"/>
    </row>
    <row r="56" spans="1:17" s="49" customFormat="1" ht="52.5" customHeight="1" x14ac:dyDescent="0.25">
      <c r="A56" s="103" t="str">
        <f t="shared" ref="A56:A59" si="14">9&amp;E56</f>
        <v>9b</v>
      </c>
      <c r="B56" s="225"/>
      <c r="C56" s="240"/>
      <c r="D56" s="222"/>
      <c r="E56" s="83" t="s">
        <v>37</v>
      </c>
      <c r="F56" s="85" t="s">
        <v>109</v>
      </c>
      <c r="G56" s="114" t="s">
        <v>39</v>
      </c>
      <c r="H56" s="166" t="s">
        <v>204</v>
      </c>
      <c r="I56" s="108" t="str">
        <f t="shared" si="2"/>
        <v>Mantenimiento del control</v>
      </c>
      <c r="J56" s="105">
        <f t="shared" si="13"/>
        <v>120</v>
      </c>
      <c r="K56" s="110">
        <v>0.851234567</v>
      </c>
      <c r="L56" s="105">
        <f t="shared" si="3"/>
        <v>120.85123456700001</v>
      </c>
      <c r="M56" s="48"/>
      <c r="N56" s="48"/>
      <c r="O56" s="48"/>
      <c r="P56" s="48"/>
      <c r="Q56" s="48"/>
    </row>
    <row r="57" spans="1:17" s="49" customFormat="1" ht="77.25" customHeight="1" x14ac:dyDescent="0.25">
      <c r="A57" s="103" t="str">
        <f t="shared" si="14"/>
        <v>9c</v>
      </c>
      <c r="B57" s="225"/>
      <c r="C57" s="240"/>
      <c r="D57" s="222"/>
      <c r="E57" s="83" t="s">
        <v>40</v>
      </c>
      <c r="F57" s="85" t="s">
        <v>110</v>
      </c>
      <c r="G57" s="114" t="s">
        <v>76</v>
      </c>
      <c r="H57" s="169" t="s">
        <v>224</v>
      </c>
      <c r="I57" s="108" t="str">
        <f t="shared" si="2"/>
        <v>Oportunidad de mejora</v>
      </c>
      <c r="J57" s="105">
        <f t="shared" si="13"/>
        <v>100</v>
      </c>
      <c r="K57" s="110">
        <v>0.85123456779999995</v>
      </c>
      <c r="L57" s="105">
        <f t="shared" si="3"/>
        <v>100.85123456780001</v>
      </c>
      <c r="M57" s="48"/>
      <c r="N57" s="48"/>
      <c r="O57" s="48"/>
      <c r="P57" s="48"/>
      <c r="Q57" s="48"/>
    </row>
    <row r="58" spans="1:17" s="49" customFormat="1" ht="62.25" customHeight="1" x14ac:dyDescent="0.25">
      <c r="A58" s="103" t="str">
        <f t="shared" si="14"/>
        <v>9d</v>
      </c>
      <c r="B58" s="225"/>
      <c r="C58" s="240"/>
      <c r="D58" s="222"/>
      <c r="E58" s="83" t="s">
        <v>42</v>
      </c>
      <c r="F58" s="85" t="s">
        <v>111</v>
      </c>
      <c r="G58" s="114" t="s">
        <v>76</v>
      </c>
      <c r="H58" s="169" t="s">
        <v>205</v>
      </c>
      <c r="I58" s="108" t="str">
        <f t="shared" si="2"/>
        <v>Oportunidad de mejora</v>
      </c>
      <c r="J58" s="105">
        <f t="shared" si="13"/>
        <v>100</v>
      </c>
      <c r="K58" s="110">
        <v>0.85123456788999996</v>
      </c>
      <c r="L58" s="105">
        <f t="shared" si="3"/>
        <v>100.85123456789</v>
      </c>
      <c r="M58" s="48"/>
      <c r="N58" s="48"/>
      <c r="O58" s="48"/>
      <c r="P58" s="48"/>
      <c r="Q58" s="48"/>
    </row>
    <row r="59" spans="1:17" s="49" customFormat="1" ht="77.25" customHeight="1" thickBot="1" x14ac:dyDescent="0.3">
      <c r="A59" s="103" t="str">
        <f t="shared" si="14"/>
        <v>9e</v>
      </c>
      <c r="B59" s="226"/>
      <c r="C59" s="240"/>
      <c r="D59" s="223"/>
      <c r="E59" s="86" t="s">
        <v>44</v>
      </c>
      <c r="F59" s="87" t="s">
        <v>112</v>
      </c>
      <c r="G59" s="115" t="s">
        <v>76</v>
      </c>
      <c r="H59" s="169" t="s">
        <v>225</v>
      </c>
      <c r="I59" s="109" t="str">
        <f t="shared" si="2"/>
        <v>Oportunidad de mejora</v>
      </c>
      <c r="J59" s="105">
        <f t="shared" si="13"/>
        <v>100</v>
      </c>
      <c r="K59" s="110">
        <v>0.85123456789100005</v>
      </c>
      <c r="L59" s="105">
        <f t="shared" si="3"/>
        <v>100.851234567891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B1" zoomScale="80" zoomScaleNormal="80" workbookViewId="0">
      <selection activeCell="J31" sqref="J31:J40"/>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302" t="s">
        <v>113</v>
      </c>
      <c r="D7" s="303"/>
      <c r="E7" s="303"/>
      <c r="F7" s="303"/>
      <c r="G7" s="303"/>
      <c r="H7" s="303"/>
      <c r="I7" s="303"/>
      <c r="J7" s="303"/>
      <c r="K7" s="304"/>
    </row>
    <row r="8" spans="1:11" s="1" customFormat="1" ht="15.75" thickBot="1" x14ac:dyDescent="0.3">
      <c r="C8" s="39"/>
      <c r="D8" s="39"/>
      <c r="E8" s="40"/>
      <c r="F8" s="40"/>
      <c r="G8" s="40"/>
      <c r="H8" s="40"/>
      <c r="I8" s="50"/>
      <c r="J8" s="40"/>
      <c r="K8" s="40"/>
    </row>
    <row r="9" spans="1:11" ht="21" thickBot="1" x14ac:dyDescent="0.3">
      <c r="A9" s="1"/>
      <c r="B9" s="1"/>
      <c r="C9" s="204" t="s">
        <v>15</v>
      </c>
      <c r="D9" s="205"/>
      <c r="E9" s="205" t="s">
        <v>16</v>
      </c>
      <c r="F9" s="216"/>
      <c r="G9" s="40"/>
      <c r="H9" s="40"/>
      <c r="I9" s="50"/>
      <c r="J9" s="40"/>
      <c r="K9" s="40"/>
    </row>
    <row r="10" spans="1:11" ht="54" customHeight="1" x14ac:dyDescent="0.25">
      <c r="A10" s="1"/>
      <c r="B10" s="1"/>
      <c r="C10" s="217" t="s">
        <v>17</v>
      </c>
      <c r="D10" s="218"/>
      <c r="E10" s="219" t="s">
        <v>18</v>
      </c>
      <c r="F10" s="220"/>
      <c r="G10" s="41"/>
      <c r="H10" s="42">
        <v>1</v>
      </c>
      <c r="I10" s="50"/>
      <c r="J10" s="40"/>
      <c r="K10" s="40"/>
    </row>
    <row r="11" spans="1:11" ht="46.5" customHeight="1" x14ac:dyDescent="0.25">
      <c r="A11" s="1"/>
      <c r="B11" s="1"/>
      <c r="C11" s="206" t="s">
        <v>19</v>
      </c>
      <c r="D11" s="207"/>
      <c r="E11" s="208" t="s">
        <v>114</v>
      </c>
      <c r="F11" s="209"/>
      <c r="G11" s="43" t="s">
        <v>115</v>
      </c>
      <c r="H11" s="42">
        <v>0.75</v>
      </c>
      <c r="I11" s="50"/>
      <c r="J11" s="40"/>
      <c r="K11" s="40"/>
    </row>
    <row r="12" spans="1:11" ht="70.5" customHeight="1" thickBot="1" x14ac:dyDescent="0.3">
      <c r="A12" s="1"/>
      <c r="B12" s="1"/>
      <c r="C12" s="210" t="s">
        <v>21</v>
      </c>
      <c r="D12" s="211"/>
      <c r="E12" s="212" t="s">
        <v>116</v>
      </c>
      <c r="F12" s="213"/>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94" t="s">
        <v>117</v>
      </c>
      <c r="D17" s="296" t="s">
        <v>118</v>
      </c>
      <c r="E17" s="297"/>
      <c r="F17" s="298" t="s">
        <v>119</v>
      </c>
      <c r="G17" s="300" t="s">
        <v>120</v>
      </c>
      <c r="H17" s="38"/>
      <c r="I17" s="289" t="s">
        <v>121</v>
      </c>
      <c r="J17" s="289" t="s">
        <v>122</v>
      </c>
    </row>
    <row r="18" spans="1:10" ht="36" customHeight="1" thickBot="1" x14ac:dyDescent="0.3">
      <c r="A18" s="1"/>
      <c r="B18" s="1"/>
      <c r="C18" s="295"/>
      <c r="D18" s="117" t="s">
        <v>123</v>
      </c>
      <c r="E18" s="118" t="s">
        <v>27</v>
      </c>
      <c r="F18" s="299"/>
      <c r="G18" s="301"/>
      <c r="H18" s="38"/>
      <c r="I18" s="290"/>
      <c r="J18" s="290"/>
    </row>
    <row r="19" spans="1:10" ht="65.25" customHeight="1" x14ac:dyDescent="0.25">
      <c r="A19" s="1"/>
      <c r="B19" s="1"/>
      <c r="C19" s="136">
        <v>1</v>
      </c>
      <c r="D19" s="291" t="s">
        <v>32</v>
      </c>
      <c r="E19" s="119" t="str">
        <f>+IFERROR(INDEX(Hoja1!$E$2:$E$45,MATCH('Análisis Resultados'!C19,Hoja1!$H$2:$H$45,0)),"")</f>
        <v>Un manual de funciones que describa los empleos de la entidad</v>
      </c>
      <c r="F19" s="120" t="str">
        <f>+IFERROR(VLOOKUP(C19,Hoja1!$H$2:$I$45,2,0),"")</f>
        <v>En proceso</v>
      </c>
      <c r="G19" s="121"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19" s="18"/>
      <c r="I19" s="137">
        <f>+IF(F19="Si",1,IF(F19="En proceso",0.5,0))</f>
        <v>0.5</v>
      </c>
      <c r="J19" s="273">
        <f>+AVERAGE(I19:I30)</f>
        <v>0.79166666666666663</v>
      </c>
    </row>
    <row r="20" spans="1:10" ht="42.75" x14ac:dyDescent="0.25">
      <c r="A20" s="1"/>
      <c r="B20" s="1"/>
      <c r="C20" s="136">
        <v>2</v>
      </c>
      <c r="D20" s="292"/>
      <c r="E20" s="122" t="str">
        <f>+IFERROR(INDEX(Hoja1!$E$2:$E$45,MATCH('Análisis Resultados'!C20,Hoja1!$H$2:$H$45,0)),"")</f>
        <v>Procesos de inducción, capacitación y bienestar social para sus servidores públicos, de manera directa o en asociación con otras entidades municipales</v>
      </c>
      <c r="F20" s="123" t="str">
        <f>+IFERROR(VLOOKUP(C20,Hoja1!$H$2:$I$45,2,0),"")</f>
        <v>En proceso</v>
      </c>
      <c r="G20" s="124"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20" s="18"/>
      <c r="I20" s="138">
        <f t="shared" ref="I20:I62" si="1">+IF(F20="Si",1,IF(F20="En proceso",0.5,0))</f>
        <v>0.5</v>
      </c>
      <c r="J20" s="274"/>
    </row>
    <row r="21" spans="1:10" ht="33.75" x14ac:dyDescent="0.25">
      <c r="A21" s="1"/>
      <c r="B21" s="1"/>
      <c r="C21" s="136">
        <v>3</v>
      </c>
      <c r="D21" s="292"/>
      <c r="E21" s="122" t="str">
        <f>+IFERROR(INDEX(Hoja1!$E$2:$E$45,MATCH('Análisis Resultados'!C21,Hoja1!$H$2:$H$45,0)),"")</f>
        <v>Evaluación a los servidores públicos de acuerdo con el marco normativo que le rige</v>
      </c>
      <c r="F21" s="123" t="str">
        <f>+IFERROR(VLOOKUP(C21,Hoja1!$H$2:$I$45,2,0),"")</f>
        <v>En proceso</v>
      </c>
      <c r="G21" s="124" t="str">
        <f t="shared" si="0"/>
        <v>Se encuentra en proceso, pero requiere continuar con acciones dirigidas a contar con dicho aspecto de control.</v>
      </c>
      <c r="H21" s="18"/>
      <c r="I21" s="138">
        <f t="shared" si="1"/>
        <v>0.5</v>
      </c>
      <c r="J21" s="274"/>
    </row>
    <row r="22" spans="1:10" ht="56.25" customHeight="1" x14ac:dyDescent="0.25">
      <c r="A22" s="1"/>
      <c r="B22" s="1"/>
      <c r="C22" s="136">
        <v>4</v>
      </c>
      <c r="D22" s="292"/>
      <c r="E22" s="122" t="str">
        <f>+IFERROR(INDEX(Hoja1!$E$2:$E$45,MATCH('Análisis Resultados'!C22,Hoja1!$H$2:$H$45,0)),"")</f>
        <v>Procesos de desvinculación de servidores de acuerdo con lo previsto en la Constitución Política y las leyes</v>
      </c>
      <c r="F22" s="123" t="str">
        <f>+IFERROR(VLOOKUP(C22,Hoja1!$H$2:$I$45,2,0),"")</f>
        <v>En proceso</v>
      </c>
      <c r="G22" s="124" t="str">
        <f t="shared" si="0"/>
        <v>Se encuentra en proceso, pero requiere continuar con acciones dirigidas a contar con dicho aspecto de control.</v>
      </c>
      <c r="H22" s="18"/>
      <c r="I22" s="138">
        <f t="shared" si="1"/>
        <v>0.5</v>
      </c>
      <c r="J22" s="274"/>
    </row>
    <row r="23" spans="1:10" ht="33.75" x14ac:dyDescent="0.25">
      <c r="A23" s="1"/>
      <c r="B23" s="1"/>
      <c r="C23" s="136">
        <v>5</v>
      </c>
      <c r="D23" s="292"/>
      <c r="E23" s="122" t="str">
        <f>+IFERROR(INDEX(Hoja1!$E$2:$E$45,MATCH('Análisis Resultados'!C23,Hoja1!$H$2:$H$45,0)),"")</f>
        <v>Presentación oportuna de sus informes de gestión a las autoridades competentes</v>
      </c>
      <c r="F23" s="123" t="str">
        <f>+IFERROR(VLOOKUP(C23,Hoja1!$H$2:$I$45,2,0),"")</f>
        <v>En proceso</v>
      </c>
      <c r="G23" s="124" t="str">
        <f t="shared" si="0"/>
        <v>Se encuentra en proceso, pero requiere continuar con acciones dirigidas a contar con dicho aspecto de control.</v>
      </c>
      <c r="H23" s="18"/>
      <c r="I23" s="138">
        <f t="shared" si="1"/>
        <v>0.5</v>
      </c>
      <c r="J23" s="274"/>
    </row>
    <row r="24" spans="1:10" ht="45" x14ac:dyDescent="0.25">
      <c r="A24" s="1"/>
      <c r="B24" s="1"/>
      <c r="C24" s="136">
        <v>6</v>
      </c>
      <c r="D24" s="292"/>
      <c r="E24" s="122" t="str">
        <f>+IFERROR(INDEX(Hoja1!$E$2:$E$45,MATCH('Análisis Resultados'!C24,Hoja1!$H$2:$H$45,0)),"")</f>
        <v>Documento interno o adopción del MECI actualizado</v>
      </c>
      <c r="F24" s="123" t="str">
        <f>+IFERROR(VLOOKUP(C24,Hoja1!$H$2:$I$45,2,0),"")</f>
        <v>Si</v>
      </c>
      <c r="G24" s="124" t="str">
        <f t="shared" si="0"/>
        <v>Existe requerimiento pero se requiere actividades  dirigidas a su mantenimiento dentro del marco de las lineas de defensa.</v>
      </c>
      <c r="H24" s="18"/>
      <c r="I24" s="138">
        <f t="shared" si="1"/>
        <v>1</v>
      </c>
      <c r="J24" s="274"/>
    </row>
    <row r="25" spans="1:10" ht="57" x14ac:dyDescent="0.25">
      <c r="A25" s="1"/>
      <c r="B25" s="1"/>
      <c r="C25" s="136">
        <v>7</v>
      </c>
      <c r="D25" s="292"/>
      <c r="E25" s="122" t="str">
        <f>+IFERROR(INDEX(Hoja1!$E$2:$E$45,MATCH('Análisis Resultados'!C25,Hoja1!$H$2:$H$45,0)),"")</f>
        <v>Un documento tal como un código de ética, integridad u otro que formalice los estándares de conducta, los principios institucionales o los valores del servicio público</v>
      </c>
      <c r="F25" s="123" t="str">
        <f>+IFERROR(VLOOKUP(C25,Hoja1!$H$2:$I$45,2,0),"")</f>
        <v>Si</v>
      </c>
      <c r="G25" s="124" t="str">
        <f t="shared" si="0"/>
        <v>Existe requerimiento pero se requiere actividades  dirigidas a su mantenimiento dentro del marco de las lineas de defensa.</v>
      </c>
      <c r="H25" s="18"/>
      <c r="I25" s="138">
        <f t="shared" si="1"/>
        <v>1</v>
      </c>
      <c r="J25" s="274"/>
    </row>
    <row r="26" spans="1:10" ht="45" x14ac:dyDescent="0.25">
      <c r="A26" s="1"/>
      <c r="B26" s="1"/>
      <c r="C26" s="136">
        <v>8</v>
      </c>
      <c r="D26" s="292"/>
      <c r="E26" s="122" t="str">
        <f>+IFERROR(INDEX(Hoja1!$E$2:$E$45,MATCH('Análisis Resultados'!C26,Hoja1!$H$2:$H$45,0)),"")</f>
        <v>Planes, programas y proyectos de acuerdo con las normas que rigen y atendiendo con su propósito fundamental institucional (misión)</v>
      </c>
      <c r="F26" s="123" t="str">
        <f>+IFERROR(VLOOKUP(C26,Hoja1!$H$2:$I$45,2,0),"")</f>
        <v>Si</v>
      </c>
      <c r="G26" s="124" t="str">
        <f t="shared" si="0"/>
        <v>Existe requerimiento pero se requiere actividades  dirigidas a su mantenimiento dentro del marco de las lineas de defensa.</v>
      </c>
      <c r="H26" s="18"/>
      <c r="I26" s="138">
        <f t="shared" si="1"/>
        <v>1</v>
      </c>
      <c r="J26" s="274"/>
    </row>
    <row r="27" spans="1:10" ht="45" x14ac:dyDescent="0.25">
      <c r="A27" s="1"/>
      <c r="B27" s="1"/>
      <c r="C27" s="136">
        <v>9</v>
      </c>
      <c r="D27" s="292"/>
      <c r="E27" s="122" t="str">
        <f>+IFERROR(INDEX(Hoja1!$E$2:$E$45,MATCH('Análisis Resultados'!C27,Hoja1!$H$2:$H$45,0)),"")</f>
        <v>Una estructura organizacional formalizada (organigrama)</v>
      </c>
      <c r="F27" s="123" t="str">
        <f>+IFERROR(VLOOKUP(C27,Hoja1!$H$2:$I$45,2,0),"")</f>
        <v>Si</v>
      </c>
      <c r="G27" s="124" t="str">
        <f t="shared" si="0"/>
        <v>Existe requerimiento pero se requiere actividades  dirigidas a su mantenimiento dentro del marco de las lineas de defensa.</v>
      </c>
      <c r="H27" s="18"/>
      <c r="I27" s="138">
        <f t="shared" si="1"/>
        <v>1</v>
      </c>
      <c r="J27" s="274"/>
    </row>
    <row r="28" spans="1:10" ht="45" x14ac:dyDescent="0.25">
      <c r="A28" s="1"/>
      <c r="B28" s="1"/>
      <c r="C28" s="136">
        <v>10</v>
      </c>
      <c r="D28" s="292"/>
      <c r="E28" s="122" t="str">
        <f>+IFERROR(INDEX(Hoja1!$E$2:$E$45,MATCH('Análisis Resultados'!C28,Hoja1!$H$2:$H$45,0)),"")</f>
        <v>La documentación de sus procesos y procedimientos o bien una lista de actividades principales que permitan conocer el estado de su gestión</v>
      </c>
      <c r="F28" s="123" t="str">
        <f>+IFERROR(VLOOKUP(C28,Hoja1!$H$2:$I$45,2,0),"")</f>
        <v>Si</v>
      </c>
      <c r="G28" s="124" t="str">
        <f t="shared" si="0"/>
        <v>Existe requerimiento pero se requiere actividades  dirigidas a su mantenimiento dentro del marco de las lineas de defensa.</v>
      </c>
      <c r="H28" s="18"/>
      <c r="I28" s="138">
        <f t="shared" si="1"/>
        <v>1</v>
      </c>
      <c r="J28" s="274"/>
    </row>
    <row r="29" spans="1:10" ht="45" x14ac:dyDescent="0.25">
      <c r="A29" s="1"/>
      <c r="B29" s="1"/>
      <c r="C29" s="136">
        <v>11</v>
      </c>
      <c r="D29" s="292"/>
      <c r="E29" s="122" t="str">
        <f>+IFERROR(INDEX(Hoja1!$E$2:$E$45,MATCH('Análisis Resultados'!C29,Hoja1!$H$2:$H$45,0)),"")</f>
        <v>Vinculación de los servidores públicos de acuerdo con el marco normativo que les rige (carrera administrativa, libre nombramiento y remoción, entre otros)</v>
      </c>
      <c r="F29" s="123" t="str">
        <f>+IFERROR(VLOOKUP(C29,Hoja1!$H$2:$I$45,2,0),"")</f>
        <v>Si</v>
      </c>
      <c r="G29" s="124"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38">
        <f t="shared" si="1"/>
        <v>1</v>
      </c>
      <c r="J29" s="274"/>
    </row>
    <row r="30" spans="1:10" ht="45.75" thickBot="1" x14ac:dyDescent="0.3">
      <c r="A30" s="1"/>
      <c r="B30" s="1"/>
      <c r="C30" s="136">
        <v>12</v>
      </c>
      <c r="D30" s="293"/>
      <c r="E30" s="125" t="str">
        <f>+IFERROR(INDEX(Hoja1!$E$2:$E$45,MATCH('Análisis Resultados'!C30,Hoja1!$H$2:$H$45,0)),"")</f>
        <v>Mecanismos de rendición de cuentas a la ciudadanía</v>
      </c>
      <c r="F30" s="126" t="str">
        <f>+IFERROR(VLOOKUP(C30,Hoja1!$H$2:$I$45,2,0),"")</f>
        <v>Si</v>
      </c>
      <c r="G30" s="127" t="str">
        <f t="shared" si="0"/>
        <v>Existe requerimiento pero se requiere actividades  dirigidas a su mantenimiento dentro del marco de las lineas de defensa.</v>
      </c>
      <c r="H30" s="18"/>
      <c r="I30" s="139">
        <f t="shared" si="1"/>
        <v>1</v>
      </c>
      <c r="J30" s="275"/>
    </row>
    <row r="31" spans="1:10" ht="45" customHeight="1" x14ac:dyDescent="0.25">
      <c r="A31" s="1"/>
      <c r="B31" s="1"/>
      <c r="C31" s="136">
        <v>13</v>
      </c>
      <c r="D31" s="287" t="s">
        <v>61</v>
      </c>
      <c r="E31" s="119" t="str">
        <f>+IFERROR(INDEX(Hoja1!$E$2:$E$45,MATCH('Análisis Resultados'!C31,Hoja1!$H$2:$H$45,0)),"")</f>
        <v>Se definen espacios de reunión para conocerlos y proponer acciones para su solución</v>
      </c>
      <c r="F31" s="120" t="str">
        <f>+IFERROR(VLOOKUP(C31,Hoja1!$H$2:$I$45,2,0),"")</f>
        <v>En proceso</v>
      </c>
      <c r="G31" s="121" t="str">
        <f t="shared" si="0"/>
        <v>Se encuentra en proceso, pero requiere continuar con acciones dirigidas a contar con dicho aspecto de control.</v>
      </c>
      <c r="H31" s="18"/>
      <c r="I31" s="137">
        <f t="shared" si="1"/>
        <v>0.5</v>
      </c>
      <c r="J31" s="271">
        <f>+AVERAGE(I31:I40)</f>
        <v>0.9</v>
      </c>
    </row>
    <row r="32" spans="1:10" ht="57" customHeight="1" x14ac:dyDescent="0.25">
      <c r="A32" s="1"/>
      <c r="B32" s="1"/>
      <c r="C32" s="136">
        <v>14</v>
      </c>
      <c r="D32" s="288"/>
      <c r="E32" s="122" t="str">
        <f>+IFERROR(INDEX(Hoja1!$E$2:$E$45,MATCH('Análisis Resultados'!C32,Hoja1!$H$2:$H$45,0)),"")</f>
        <v>Cada líder del equipo autónomamente toma las acciones para solucionarlos.</v>
      </c>
      <c r="F32" s="123" t="str">
        <f>+IFERROR(VLOOKUP(C32,Hoja1!$H$2:$I$45,2,0),"")</f>
        <v>En proceso</v>
      </c>
      <c r="G32" s="124" t="str">
        <f t="shared" si="0"/>
        <v>Se encuentra en proceso, pero requiere continuar con acciones dirigidas a contar con dicho aspecto de control.</v>
      </c>
      <c r="H32" s="18"/>
      <c r="I32" s="138">
        <f t="shared" si="1"/>
        <v>0.5</v>
      </c>
      <c r="J32" s="272"/>
    </row>
    <row r="33" spans="1:10" ht="54" customHeight="1" x14ac:dyDescent="0.25">
      <c r="A33" s="1"/>
      <c r="B33" s="1"/>
      <c r="C33" s="136">
        <v>15</v>
      </c>
      <c r="D33" s="288"/>
      <c r="E33" s="122" t="str">
        <f>+IFERROR(INDEX(Hoja1!$E$2:$E$45,MATCH('Análisis Resultados'!C33,Hoja1!$H$2:$H$45,0)),"")</f>
        <v>La identificación de cambios en su entorno que pueden generar consecuencias negativas en su gestión</v>
      </c>
      <c r="F33" s="123" t="str">
        <f>+IFERROR(VLOOKUP(C33,Hoja1!$H$2:$I$45,2,0),"")</f>
        <v>Si</v>
      </c>
      <c r="G33" s="124" t="str">
        <f t="shared" si="0"/>
        <v>Existe requerimiento pero se requiere actividades  dirigidas a su mantenimiento dentro del marco de las lineas de defensa.</v>
      </c>
      <c r="H33" s="18"/>
      <c r="I33" s="138">
        <f t="shared" si="1"/>
        <v>1</v>
      </c>
      <c r="J33" s="272"/>
    </row>
    <row r="34" spans="1:10" ht="45" x14ac:dyDescent="0.25">
      <c r="A34" s="1"/>
      <c r="B34" s="1"/>
      <c r="C34" s="136">
        <v>16</v>
      </c>
      <c r="D34" s="288"/>
      <c r="E34" s="122" t="str">
        <f>+IFERROR(INDEX(Hoja1!$E$2:$E$45,MATCH('Análisis Resultados'!C34,Hoja1!$H$2:$H$45,0)),"")</f>
        <v>La identificación de aquellos problemas o aspectos que pueden afectar el cumplimiento de los planes de la entidad y en general su gestión institucional (riesgos)</v>
      </c>
      <c r="F34" s="123" t="str">
        <f>+IFERROR(VLOOKUP(C34,Hoja1!$H$2:$I$45,2,0),"")</f>
        <v>Si</v>
      </c>
      <c r="G34" s="124" t="str">
        <f t="shared" si="0"/>
        <v>Existe requerimiento pero se requiere actividades  dirigidas a su mantenimiento dentro del marco de las lineas de defensa.</v>
      </c>
      <c r="H34" s="18"/>
      <c r="I34" s="138">
        <f t="shared" si="1"/>
        <v>1</v>
      </c>
      <c r="J34" s="272"/>
    </row>
    <row r="35" spans="1:10" ht="67.5" customHeight="1" x14ac:dyDescent="0.25">
      <c r="A35" s="1"/>
      <c r="B35" s="1"/>
      <c r="C35" s="136">
        <v>17</v>
      </c>
      <c r="D35" s="288"/>
      <c r="E35" s="122" t="str">
        <f>+IFERROR(INDEX(Hoja1!$E$2:$E$45,MATCH('Análisis Resultados'!C35,Hoja1!$H$2:$H$45,0)),"")</f>
        <v>La identificación  de los riesgos relacionados con posibles actos de corrupción en el ejercicio de sus funciones</v>
      </c>
      <c r="F35" s="123" t="str">
        <f>+IFERROR(VLOOKUP(C35,Hoja1!$H$2:$I$45,2,0),"")</f>
        <v>Si</v>
      </c>
      <c r="G35" s="124" t="str">
        <f t="shared" si="0"/>
        <v>Existe requerimiento pero se requiere actividades  dirigidas a su mantenimiento dentro del marco de las lineas de defensa.</v>
      </c>
      <c r="H35" s="18"/>
      <c r="I35" s="138">
        <f t="shared" si="1"/>
        <v>1</v>
      </c>
      <c r="J35" s="272"/>
    </row>
    <row r="36" spans="1:10" ht="45" x14ac:dyDescent="0.25">
      <c r="A36" s="1"/>
      <c r="B36" s="1"/>
      <c r="C36" s="136">
        <v>18</v>
      </c>
      <c r="D36" s="288"/>
      <c r="E36" s="122" t="str">
        <f>+IFERROR(INDEX(Hoja1!$E$2:$E$45,MATCH('Análisis Resultados'!C36,Hoja1!$H$2:$H$45,0)),"")</f>
        <v>Si su capacidad e infraestructura lo permite, identificación de riesgos asociados a las tecnologías de la información y las comunicaciones</v>
      </c>
      <c r="F36" s="123" t="str">
        <f>+IFERROR(VLOOKUP(C36,Hoja1!$H$2:$I$45,2,0),"")</f>
        <v>Si</v>
      </c>
      <c r="G36" s="124" t="str">
        <f t="shared" si="0"/>
        <v>Existe requerimiento pero se requiere actividades  dirigidas a su mantenimiento dentro del marco de las lineas de defensa.</v>
      </c>
      <c r="H36" s="18"/>
      <c r="I36" s="138">
        <f t="shared" si="1"/>
        <v>1</v>
      </c>
      <c r="J36" s="272"/>
    </row>
    <row r="37" spans="1:10" ht="57" customHeight="1" x14ac:dyDescent="0.25">
      <c r="A37" s="1"/>
      <c r="B37" s="1"/>
      <c r="C37" s="136">
        <v>19</v>
      </c>
      <c r="D37" s="288"/>
      <c r="E37" s="122" t="str">
        <f>+IFERROR(INDEX(Hoja1!$E$2:$E$45,MATCH('Análisis Resultados'!C37,Hoja1!$H$2:$H$45,0)),"")</f>
        <v>Hacen seguimiento a los problemas (riesgos)  que pueden afectar el cumplimiento de sus procesos, programas o proyectos a cargo</v>
      </c>
      <c r="F37" s="123" t="str">
        <f>+IFERROR(VLOOKUP(C37,Hoja1!$H$2:$I$45,2,0),"")</f>
        <v>Si</v>
      </c>
      <c r="G37" s="124" t="str">
        <f t="shared" si="0"/>
        <v>Existe requerimiento pero se requiere actividades  dirigidas a su mantenimiento dentro del marco de las lineas de defensa.</v>
      </c>
      <c r="H37" s="18"/>
      <c r="I37" s="138">
        <f t="shared" si="1"/>
        <v>1</v>
      </c>
      <c r="J37" s="272"/>
    </row>
    <row r="38" spans="1:10" ht="45" x14ac:dyDescent="0.25">
      <c r="A38" s="1"/>
      <c r="B38" s="1"/>
      <c r="C38" s="136">
        <v>20</v>
      </c>
      <c r="D38" s="288"/>
      <c r="E38" s="122" t="str">
        <f>+IFERROR(INDEX(Hoja1!$E$2:$E$45,MATCH('Análisis Resultados'!C38,Hoja1!$H$2:$H$45,0)),"")</f>
        <v>Informan de manera periódica a quien corresponda sobre el desempeño de las actividades de gestión de riesgos</v>
      </c>
      <c r="F38" s="123" t="str">
        <f>+IFERROR(VLOOKUP(C38,Hoja1!$H$2:$I$45,2,0),"")</f>
        <v>Si</v>
      </c>
      <c r="G38" s="124" t="str">
        <f t="shared" si="0"/>
        <v>Existe requerimiento pero se requiere actividades  dirigidas a su mantenimiento dentro del marco de las lineas de defensa.</v>
      </c>
      <c r="H38" s="18"/>
      <c r="I38" s="138">
        <f t="shared" si="1"/>
        <v>1</v>
      </c>
      <c r="J38" s="272"/>
    </row>
    <row r="39" spans="1:10" ht="45" x14ac:dyDescent="0.25">
      <c r="A39" s="1"/>
      <c r="B39" s="1"/>
      <c r="C39" s="136">
        <v>21</v>
      </c>
      <c r="D39" s="288"/>
      <c r="E39" s="122" t="str">
        <f>+IFERROR(INDEX(Hoja1!$E$2:$E$45,MATCH('Análisis Resultados'!C39,Hoja1!$H$2:$H$45,0)),"")</f>
        <v>Identifican deficiencias en las maneras de  controlar los riesgos o problemas en sus procesos, programas o proyectos, y propone los ajustes necesarios</v>
      </c>
      <c r="F39" s="123" t="str">
        <f>+IFERROR(VLOOKUP(C39,Hoja1!$H$2:$I$45,2,0),"")</f>
        <v>Si</v>
      </c>
      <c r="G39" s="124" t="str">
        <f t="shared" si="0"/>
        <v>Existe requerimiento pero se requiere actividades  dirigidas a su mantenimiento dentro del marco de las lineas de defensa.</v>
      </c>
      <c r="H39" s="18"/>
      <c r="I39" s="138">
        <f t="shared" si="1"/>
        <v>1</v>
      </c>
      <c r="J39" s="272"/>
    </row>
    <row r="40" spans="1:10" ht="45.75" thickBot="1" x14ac:dyDescent="0.3">
      <c r="A40" s="1"/>
      <c r="B40" s="1"/>
      <c r="C40" s="136">
        <v>22</v>
      </c>
      <c r="D40" s="288"/>
      <c r="E40" s="128" t="str">
        <f>+IFERROR(INDEX(Hoja1!$E$2:$E$45,MATCH('Análisis Resultados'!C40,Hoja1!$H$2:$H$45,0)),"")</f>
        <v>Solamente hasta que un organismo de control actúa se definen acciones de mejora.</v>
      </c>
      <c r="F40" s="129" t="str">
        <f>+IFERROR(VLOOKUP(C40,Hoja1!$H$2:$I$45,2,0),"")</f>
        <v>Si</v>
      </c>
      <c r="G40" s="130" t="str">
        <f t="shared" si="0"/>
        <v>Existe requerimiento pero se requiere actividades  dirigidas a su mantenimiento dentro del marco de las lineas de defensa.</v>
      </c>
      <c r="H40" s="18"/>
      <c r="I40" s="140">
        <f t="shared" si="1"/>
        <v>1</v>
      </c>
      <c r="J40" s="272"/>
    </row>
    <row r="41" spans="1:10" ht="87.75" customHeight="1" x14ac:dyDescent="0.25">
      <c r="A41" s="1"/>
      <c r="B41" s="1"/>
      <c r="C41" s="136">
        <v>23</v>
      </c>
      <c r="D41" s="283" t="s">
        <v>79</v>
      </c>
      <c r="E41" s="119" t="str">
        <f>+IFERROR(INDEX(Hoja1!$E$2:$E$45,MATCH('Análisis Resultados'!C41,Hoja1!$H$2:$H$45,0)),"")</f>
        <v>Mecanismos de verificación de si se están o no mitigando los riesgos, o en su defecto, elaboración de planes de contingencia para subsanar sus consecuencias</v>
      </c>
      <c r="F41" s="120" t="str">
        <f>+IFERROR(VLOOKUP(C41,Hoja1!$H$2:$I$45,2,0),"")</f>
        <v>En proceso</v>
      </c>
      <c r="G41" s="121" t="str">
        <f t="shared" si="0"/>
        <v>Se encuentra en proceso, pero requiere continuar con acciones dirigidas a contar con dicho aspecto de control.</v>
      </c>
      <c r="H41" s="18"/>
      <c r="I41" s="137">
        <f t="shared" si="1"/>
        <v>0.5</v>
      </c>
      <c r="J41" s="271">
        <f>+AVERAGE(I41:I45)</f>
        <v>0.7</v>
      </c>
    </row>
    <row r="42" spans="1:10" ht="42.75" x14ac:dyDescent="0.25">
      <c r="A42" s="1"/>
      <c r="B42" s="1"/>
      <c r="C42" s="136">
        <v>24</v>
      </c>
      <c r="D42" s="284"/>
      <c r="E42" s="122" t="str">
        <f>+IFERROR(INDEX(Hoja1!$E$2:$E$45,MATCH('Análisis Resultados'!C42,Hoja1!$H$2:$H$45,0)),"")</f>
        <v>Planes, acciones o estrategias que permitan subsanar las consecuencias de la materialización de los riesgos, cuando se presentan</v>
      </c>
      <c r="F42" s="123" t="str">
        <f>+IFERROR(VLOOKUP(C42,Hoja1!$H$2:$I$45,2,0),"")</f>
        <v>En proceso</v>
      </c>
      <c r="G42" s="124" t="str">
        <f t="shared" si="0"/>
        <v>Se encuentra en proceso, pero requiere continuar con acciones dirigidas a contar con dicho aspecto de control.</v>
      </c>
      <c r="H42" s="18"/>
      <c r="I42" s="138">
        <f t="shared" si="1"/>
        <v>0.5</v>
      </c>
      <c r="J42" s="272"/>
    </row>
    <row r="43" spans="1:10" ht="85.5" customHeight="1" x14ac:dyDescent="0.25">
      <c r="A43" s="1"/>
      <c r="B43" s="1"/>
      <c r="C43" s="136">
        <v>25</v>
      </c>
      <c r="D43" s="284"/>
      <c r="E43" s="122" t="str">
        <f>+IFERROR(INDEX(Hoja1!$E$2:$E$45,MATCH('Análisis Resultados'!C43,Hoja1!$H$2:$H$45,0)),"")</f>
        <v>Un documento que consolide  los riesgos  y el tratamiento que se les da, incluyendo aquellos que conllevan posibles actos de corrupción y si la capacidad e infraestructura lo permite, los asociados con las tecnologías de la información y las comunicaciones</v>
      </c>
      <c r="F43" s="123" t="str">
        <f>+IFERROR(VLOOKUP(C43,Hoja1!$H$2:$I$45,2,0),"")</f>
        <v>En proceso</v>
      </c>
      <c r="G43" s="124" t="str">
        <f t="shared" si="0"/>
        <v>Se encuentra en proceso, pero requiere continuar con acciones dirigidas a contar con dicho aspecto de control.</v>
      </c>
      <c r="H43" s="18"/>
      <c r="I43" s="138">
        <f t="shared" si="1"/>
        <v>0.5</v>
      </c>
      <c r="J43" s="272"/>
    </row>
    <row r="44" spans="1:10" ht="57" customHeight="1" x14ac:dyDescent="0.25">
      <c r="A44" s="1"/>
      <c r="B44" s="1"/>
      <c r="C44" s="136">
        <v>26</v>
      </c>
      <c r="D44" s="284"/>
      <c r="E44" s="122" t="str">
        <f>+IFERROR(INDEX(Hoja1!$E$2:$E$45,MATCH('Análisis Resultados'!C44,Hoja1!$H$2:$H$45,0)),"")</f>
        <v>La definición de acciones o actividades para para dar tratamiento a los problemas identificados (mitigación de riesgos), incluyendo aquellos asociados a posibles actos de corrupción</v>
      </c>
      <c r="F44" s="123" t="str">
        <f>+IFERROR(VLOOKUP(C44,Hoja1!$H$2:$I$45,2,0),"")</f>
        <v>Si</v>
      </c>
      <c r="G44" s="124" t="str">
        <f t="shared" si="0"/>
        <v>Existe requerimiento pero se requiere actividades  dirigidas a su mantenimiento dentro del marco de las lineas de defensa.</v>
      </c>
      <c r="H44" s="18"/>
      <c r="I44" s="138">
        <f t="shared" si="1"/>
        <v>1</v>
      </c>
      <c r="J44" s="272"/>
    </row>
    <row r="45" spans="1:10" ht="57" customHeight="1" thickBot="1" x14ac:dyDescent="0.3">
      <c r="A45" s="1"/>
      <c r="B45" s="1"/>
      <c r="C45" s="136">
        <v>27</v>
      </c>
      <c r="D45" s="285"/>
      <c r="E45" s="125" t="str">
        <f>+IFERROR(INDEX(Hoja1!$E$2:$E$45,MATCH('Análisis Resultados'!C45,Hoja1!$H$2:$H$45,0)),"")</f>
        <v>Un plan anticorrupción y de servicio al ciudadano con los temas que le aplican, publicado en algún medio para conocimiento de la ciudadanía</v>
      </c>
      <c r="F45" s="126" t="str">
        <f>+IFERROR(VLOOKUP(C45,Hoja1!$H$2:$I$45,2,0),"")</f>
        <v>Si</v>
      </c>
      <c r="G45" s="127" t="str">
        <f t="shared" si="0"/>
        <v>Existe requerimiento pero se requiere actividades  dirigidas a su mantenimiento dentro del marco de las lineas de defensa.</v>
      </c>
      <c r="H45" s="18"/>
      <c r="I45" s="139">
        <f t="shared" si="1"/>
        <v>1</v>
      </c>
      <c r="J45" s="286"/>
    </row>
    <row r="46" spans="1:10" ht="63.75" customHeight="1" x14ac:dyDescent="0.25">
      <c r="A46" s="1"/>
      <c r="B46" s="1"/>
      <c r="C46" s="136">
        <v>28</v>
      </c>
      <c r="D46" s="282" t="s">
        <v>87</v>
      </c>
      <c r="E46" s="131" t="str">
        <f>+IFERROR(INDEX(Hoja1!$E$2:$E$45,MATCH('Análisis Resultados'!C46,Hoja1!$H$2:$H$45,0)),"")</f>
        <v xml:space="preserve">Lineamientos para dar tratamiento a la información de carácter reservado </v>
      </c>
      <c r="F46" s="132" t="str">
        <f>+IFERROR(VLOOKUP(C46,Hoja1!$H$2:$I$45,2,0),"")</f>
        <v>No</v>
      </c>
      <c r="G46" s="133" t="str">
        <f t="shared" si="0"/>
        <v>No se encuentra el aspecto  por lo tanto la entidad debera generar acciones dirigidas a que se cumpla con el requerimiento.</v>
      </c>
      <c r="H46" s="18"/>
      <c r="I46" s="141">
        <f t="shared" si="1"/>
        <v>0</v>
      </c>
      <c r="J46" s="272">
        <f>+AVERAGE(I46:I52)</f>
        <v>0.7857142857142857</v>
      </c>
    </row>
    <row r="47" spans="1:10" ht="92.25" customHeight="1" x14ac:dyDescent="0.25">
      <c r="A47" s="1"/>
      <c r="B47" s="1"/>
      <c r="C47" s="136">
        <v>29</v>
      </c>
      <c r="D47" s="282"/>
      <c r="E47" s="122" t="str">
        <f>+IFERROR(INDEX(Hoja1!$E$2:$E$45,MATCH('Análisis Resultados'!C47,Hoja1!$H$2:$H$45,0)),"")</f>
        <v>Si su capacidad e infraestructura lo permite, tecnologías de la información y las comunicaciones que soporten estos procesos</v>
      </c>
      <c r="F47" s="123" t="str">
        <f>+IFERROR(VLOOKUP(C47,Hoja1!$H$2:$I$45,2,0),"")</f>
        <v>En proceso</v>
      </c>
      <c r="G47" s="134" t="str">
        <f t="shared" si="0"/>
        <v>Se encuentra en proceso, pero requiere continuar con acciones dirigidas a contar con dicho aspecto de control.</v>
      </c>
      <c r="H47" s="18"/>
      <c r="I47" s="142">
        <f t="shared" si="1"/>
        <v>0.5</v>
      </c>
      <c r="J47" s="272"/>
    </row>
    <row r="48" spans="1:10" ht="66.75" customHeight="1" x14ac:dyDescent="0.25">
      <c r="A48" s="1"/>
      <c r="B48" s="1"/>
      <c r="C48" s="136">
        <v>30</v>
      </c>
      <c r="D48" s="282"/>
      <c r="E48" s="122" t="str">
        <f>+IFERROR(INDEX(Hoja1!$E$2:$E$45,MATCH('Análisis Resultados'!C48,Hoja1!$H$2:$H$45,0)),"")</f>
        <v>Responsables de la información institucional</v>
      </c>
      <c r="F48" s="123" t="str">
        <f>+IFERROR(VLOOKUP(C48,Hoja1!$H$2:$I$45,2,0),"")</f>
        <v>Si</v>
      </c>
      <c r="G48" s="134" t="str">
        <f t="shared" si="0"/>
        <v>Existe requerimiento pero se requiere actividades  dirigidas a su mantenimiento dentro del marco de las lineas de defensa.</v>
      </c>
      <c r="H48" s="18"/>
      <c r="I48" s="142">
        <f t="shared" si="1"/>
        <v>1</v>
      </c>
      <c r="J48" s="272"/>
    </row>
    <row r="49" spans="1:10" ht="60" customHeight="1" x14ac:dyDescent="0.25">
      <c r="A49" s="1"/>
      <c r="B49" s="1"/>
      <c r="C49" s="136">
        <v>31</v>
      </c>
      <c r="D49" s="282"/>
      <c r="E49" s="122" t="str">
        <f>+IFERROR(INDEX(Hoja1!$E$2:$E$45,MATCH('Análisis Resultados'!C49,Hoja1!$H$2:$H$45,0)),"")</f>
        <v>Canales de comunicación con los ciudadanos</v>
      </c>
      <c r="F49" s="123" t="str">
        <f>+IFERROR(VLOOKUP(C49,Hoja1!$H$2:$I$45,2,0),"")</f>
        <v>Si</v>
      </c>
      <c r="G49" s="134" t="str">
        <f t="shared" si="0"/>
        <v>Existe requerimiento pero se requiere actividades  dirigidas a su mantenimiento dentro del marco de las lineas de defensa.</v>
      </c>
      <c r="H49" s="18"/>
      <c r="I49" s="142">
        <f t="shared" si="1"/>
        <v>1</v>
      </c>
      <c r="J49" s="272"/>
    </row>
    <row r="50" spans="1:10" ht="57" customHeight="1" x14ac:dyDescent="0.25">
      <c r="A50" s="1"/>
      <c r="B50" s="1"/>
      <c r="C50" s="136">
        <v>32</v>
      </c>
      <c r="D50" s="282"/>
      <c r="E50" s="122" t="str">
        <f>+IFERROR(INDEX(Hoja1!$E$2:$E$45,MATCH('Análisis Resultados'!C50,Hoja1!$H$2:$H$45,0)),"")</f>
        <v>Canales de comunicación o mecanismos de reporte de información a otros organismos gubernamentales o de control</v>
      </c>
      <c r="F50" s="123" t="str">
        <f>+IFERROR(VLOOKUP(C50,Hoja1!$H$2:$I$45,2,0),"")</f>
        <v>Si</v>
      </c>
      <c r="G50" s="134" t="str">
        <f t="shared" si="0"/>
        <v>Existe requerimiento pero se requiere actividades  dirigidas a su mantenimiento dentro del marco de las lineas de defensa.</v>
      </c>
      <c r="H50" s="18"/>
      <c r="I50" s="142">
        <f t="shared" si="1"/>
        <v>1</v>
      </c>
      <c r="J50" s="272"/>
    </row>
    <row r="51" spans="1:10" ht="57" customHeight="1" x14ac:dyDescent="0.25">
      <c r="A51" s="1"/>
      <c r="B51" s="1"/>
      <c r="C51" s="136">
        <v>33</v>
      </c>
      <c r="D51" s="282"/>
      <c r="E51" s="122" t="str">
        <f>+IFERROR(INDEX(Hoja1!$E$2:$E$45,MATCH('Análisis Resultados'!C51,Hoja1!$H$2:$H$45,0)),"")</f>
        <v>Identificación de información que produce en el marco de su gestión (Para los ciudadanos, organismos de control, organismos gubernamentales, entre otros)</v>
      </c>
      <c r="F51" s="123" t="str">
        <f>+IFERROR(VLOOKUP(C51,Hoja1!$H$2:$I$45,2,0),"")</f>
        <v>Si</v>
      </c>
      <c r="G51" s="134" t="str">
        <f t="shared" si="0"/>
        <v>Existe requerimiento pero se requiere actividades  dirigidas a su mantenimiento dentro del marco de las lineas de defensa.</v>
      </c>
      <c r="H51" s="18"/>
      <c r="I51" s="142">
        <f t="shared" si="1"/>
        <v>1</v>
      </c>
      <c r="J51" s="272"/>
    </row>
    <row r="52" spans="1:10" ht="45.75" thickBot="1" x14ac:dyDescent="0.3">
      <c r="A52" s="1"/>
      <c r="B52" s="1"/>
      <c r="C52" s="136">
        <v>34</v>
      </c>
      <c r="D52" s="282"/>
      <c r="E52" s="128" t="str">
        <f>+IFERROR(INDEX(Hoja1!$E$2:$E$45,MATCH('Análisis Resultados'!C52,Hoja1!$H$2:$H$45,0)),"")</f>
        <v>Identificación de información necesaria para la operación de la entidad (normograma, presupuesto, talento humano, infraestructura física y tecnológica)</v>
      </c>
      <c r="F52" s="129" t="str">
        <f>+IFERROR(VLOOKUP(C52,Hoja1!$H$2:$I$45,2,0),"")</f>
        <v>Si</v>
      </c>
      <c r="G52" s="135" t="str">
        <f t="shared" si="0"/>
        <v>Existe requerimiento pero se requiere actividades  dirigidas a su mantenimiento dentro del marco de las lineas de defensa.</v>
      </c>
      <c r="H52" s="18"/>
      <c r="I52" s="143">
        <f t="shared" si="1"/>
        <v>1</v>
      </c>
      <c r="J52" s="272"/>
    </row>
    <row r="53" spans="1:10" ht="41.25" customHeight="1" x14ac:dyDescent="0.25">
      <c r="A53" s="1"/>
      <c r="B53" s="1"/>
      <c r="C53" s="136">
        <v>35</v>
      </c>
      <c r="D53" s="276" t="s">
        <v>97</v>
      </c>
      <c r="E53" s="119" t="str">
        <f>+IFERROR(INDEX(Hoja1!$E$2:$E$45,MATCH('Análisis Resultados'!C53,Hoja1!$H$2:$H$45,0)),"")</f>
        <v>Evitar que los problemas (riesgos) obstaculicen el cumplimiento de los objetivos.</v>
      </c>
      <c r="F53" s="120" t="str">
        <f>+IFERROR(VLOOKUP(C53,Hoja1!$H$2:$I$45,2,0),"")</f>
        <v>En proceso</v>
      </c>
      <c r="G53" s="121" t="str">
        <f t="shared" si="0"/>
        <v>Se encuentra en proceso, pero requiere continuar con acciones dirigidas a contar con dicho aspecto de control.</v>
      </c>
      <c r="H53" s="18"/>
      <c r="I53" s="137">
        <f t="shared" si="1"/>
        <v>0.5</v>
      </c>
      <c r="J53" s="279">
        <f>+AVERAGE(I53:I62)</f>
        <v>0.8</v>
      </c>
    </row>
    <row r="54" spans="1:10" ht="58.5" customHeight="1" x14ac:dyDescent="0.25">
      <c r="A54" s="1"/>
      <c r="B54" s="1"/>
      <c r="C54" s="136">
        <v>36</v>
      </c>
      <c r="D54" s="277"/>
      <c r="E54" s="122" t="str">
        <f>+IFERROR(INDEX(Hoja1!$E$2:$E$45,MATCH('Análisis Resultados'!C54,Hoja1!$H$2:$H$45,0)),"")</f>
        <v>Diseñar acciones adecuadas para controlar los problemas que afectan el cumplimiento de las metas y objetivos institucionales (riesgos).</v>
      </c>
      <c r="F54" s="123" t="str">
        <f>+IFERROR(VLOOKUP(C54,Hoja1!$H$2:$I$45,2,0),"")</f>
        <v>En proceso</v>
      </c>
      <c r="G54" s="124" t="str">
        <f t="shared" si="0"/>
        <v>Se encuentra en proceso, pero requiere continuar con acciones dirigidas a contar con dicho aspecto de control.</v>
      </c>
      <c r="H54" s="18"/>
      <c r="I54" s="138">
        <f t="shared" si="1"/>
        <v>0.5</v>
      </c>
      <c r="J54" s="280"/>
    </row>
    <row r="55" spans="1:10" s="1" customFormat="1" ht="84.75" customHeight="1" x14ac:dyDescent="0.25">
      <c r="C55" s="136">
        <v>37</v>
      </c>
      <c r="D55" s="277"/>
      <c r="E55" s="122" t="str">
        <f>+IFERROR(INDEX(Hoja1!$E$2:$E$45,MATCH('Análisis Resultados'!C55,Hoja1!$H$2:$H$45,0)),"")</f>
        <v>Ejecutar las acciones de acuerdo a como se diseñaron previamente.</v>
      </c>
      <c r="F55" s="123" t="str">
        <f>+IFERROR(VLOOKUP(C55,Hoja1!$H$2:$I$45,2,0),"")</f>
        <v>En proceso</v>
      </c>
      <c r="G55" s="124" t="str">
        <f t="shared" si="0"/>
        <v>Se encuentra en proceso, pero requiere continuar con acciones dirigidas a contar con dicho aspecto de control.</v>
      </c>
      <c r="H55" s="6"/>
      <c r="I55" s="138">
        <f t="shared" si="1"/>
        <v>0.5</v>
      </c>
      <c r="J55" s="280"/>
    </row>
    <row r="56" spans="1:10" s="1" customFormat="1" ht="78.75" customHeight="1" x14ac:dyDescent="0.25">
      <c r="C56" s="136">
        <v>38</v>
      </c>
      <c r="D56" s="277"/>
      <c r="E56" s="122" t="str">
        <f>+IFERROR(INDEX(Hoja1!$E$2:$E$45,MATCH('Análisis Resultados'!C56,Hoja1!$H$2:$H$45,0)),"")</f>
        <v>No se gestionan los problemas que afectan el cumplimiento de las funciones y objetivos institucionales(riesgos).</v>
      </c>
      <c r="F56" s="123" t="str">
        <f>+IFERROR(VLOOKUP(C56,Hoja1!$H$2:$I$45,2,0),"")</f>
        <v>En proceso</v>
      </c>
      <c r="G56" s="124" t="str">
        <f t="shared" si="0"/>
        <v>Se encuentra en proceso, pero requiere continuar con acciones dirigidas a contar con dicho aspecto de control.</v>
      </c>
      <c r="H56" s="6"/>
      <c r="I56" s="138">
        <f t="shared" si="1"/>
        <v>0.5</v>
      </c>
      <c r="J56" s="280"/>
    </row>
    <row r="57" spans="1:10" s="1" customFormat="1" ht="54.75" customHeight="1" x14ac:dyDescent="0.25">
      <c r="C57" s="136">
        <v>39</v>
      </c>
      <c r="D57" s="277"/>
      <c r="E57" s="122" t="str">
        <f>+IFERROR(INDEX(Hoja1!$E$2:$E$45,MATCH('Análisis Resultados'!C57,Hoja1!$H$2:$H$45,0)),"")</f>
        <v>Mecanismos de evaluación de la gestión (cronogramas, indicadores, listas de chequeo u otros)</v>
      </c>
      <c r="F57" s="123" t="str">
        <f>+IFERROR(VLOOKUP(C57,Hoja1!$H$2:$I$45,2,0),"")</f>
        <v>Si</v>
      </c>
      <c r="G57" s="124" t="str">
        <f t="shared" si="0"/>
        <v>Existe requerimiento pero se requiere actividades  dirigidas a su mantenimiento dentro del marco de las lineas de defensa.</v>
      </c>
      <c r="H57" s="6"/>
      <c r="I57" s="138">
        <f t="shared" si="1"/>
        <v>1</v>
      </c>
      <c r="J57" s="280"/>
    </row>
    <row r="58" spans="1:10" s="1" customFormat="1" ht="68.25" customHeight="1" x14ac:dyDescent="0.25">
      <c r="C58" s="136">
        <v>40</v>
      </c>
      <c r="D58" s="277"/>
      <c r="E58" s="122" t="str">
        <f>+IFERROR(INDEX(Hoja1!$E$2:$E$45,MATCH('Análisis Resultados'!C58,Hoja1!$H$2:$H$45,0)),"")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8" s="123" t="str">
        <f>+IFERROR(VLOOKUP(C58,Hoja1!$H$2:$I$45,2,0),"")</f>
        <v>Si</v>
      </c>
      <c r="G58" s="124" t="str">
        <f t="shared" si="0"/>
        <v>Existe requerimiento pero se requiere actividades  dirigidas a su mantenimiento dentro del marco de las lineas de defensa.</v>
      </c>
      <c r="H58" s="6"/>
      <c r="I58" s="138">
        <f t="shared" si="1"/>
        <v>1</v>
      </c>
      <c r="J58" s="280"/>
    </row>
    <row r="59" spans="1:10" s="1" customFormat="1" ht="45" customHeight="1" x14ac:dyDescent="0.25">
      <c r="C59" s="136">
        <v>41</v>
      </c>
      <c r="D59" s="277"/>
      <c r="E59" s="122" t="str">
        <f>+IFERROR(INDEX(Hoja1!$E$2:$E$45,MATCH('Análisis Resultados'!C59,Hoja1!$H$2:$H$45,0)),"")</f>
        <v>Medidas correctivas en caso de detectarse deficiencias en los ejercicios de evaluación, seguimiento o auditoría</v>
      </c>
      <c r="F59" s="123" t="str">
        <f>+IFERROR(VLOOKUP(C59,Hoja1!$H$2:$I$45,2,0),"")</f>
        <v>Si</v>
      </c>
      <c r="G59" s="124" t="str">
        <f t="shared" si="0"/>
        <v>Existe requerimiento pero se requiere actividades  dirigidas a su mantenimiento dentro del marco de las lineas de defensa.</v>
      </c>
      <c r="H59" s="6"/>
      <c r="I59" s="138">
        <f t="shared" si="1"/>
        <v>1</v>
      </c>
      <c r="J59" s="280"/>
    </row>
    <row r="60" spans="1:10" s="1" customFormat="1" ht="51.75" customHeight="1" x14ac:dyDescent="0.25">
      <c r="C60" s="136">
        <v>42</v>
      </c>
      <c r="D60" s="277"/>
      <c r="E60" s="122" t="str">
        <f>+IFERROR(INDEX(Hoja1!$E$2:$E$45,MATCH('Análisis Resultados'!C60,Hoja1!$H$2:$H$45,0)),"")</f>
        <v>Seguimiento a los planes de mejoramiento suscritos con instancias de control internas o externas</v>
      </c>
      <c r="F60" s="123" t="str">
        <f>+IFERROR(VLOOKUP(C60,Hoja1!$H$2:$I$45,2,0),"")</f>
        <v>Si</v>
      </c>
      <c r="G60" s="124" t="str">
        <f t="shared" si="0"/>
        <v>Existe requerimiento pero se requiere actividades  dirigidas a su mantenimiento dentro del marco de las lineas de defensa.</v>
      </c>
      <c r="H60" s="6"/>
      <c r="I60" s="138">
        <f t="shared" si="1"/>
        <v>1</v>
      </c>
      <c r="J60" s="280"/>
    </row>
    <row r="61" spans="1:10" s="1" customFormat="1" ht="84" customHeight="1" x14ac:dyDescent="0.25">
      <c r="C61" s="136">
        <v>43</v>
      </c>
      <c r="D61" s="277"/>
      <c r="E61" s="122" t="str">
        <f>+IFERROR(INDEX(Hoja1!$E$2:$E$45,MATCH('Análisis Resultados'!C61,Hoja1!$H$2:$H$45,0)),"")</f>
        <v>La entidad participa en el  Comité Municipal de Auditoría?</v>
      </c>
      <c r="F61" s="123" t="str">
        <f>+IFERROR(VLOOKUP(C61,Hoja1!$H$2:$I$45,2,0),"")</f>
        <v>Si</v>
      </c>
      <c r="G61" s="124" t="str">
        <f t="shared" si="0"/>
        <v>Existe requerimiento pero se requiere actividades  dirigidas a su mantenimiento dentro del marco de las lineas de defensa.</v>
      </c>
      <c r="H61" s="6"/>
      <c r="I61" s="138">
        <f t="shared" si="1"/>
        <v>1</v>
      </c>
      <c r="J61" s="280"/>
    </row>
    <row r="62" spans="1:10" s="1" customFormat="1" ht="60" customHeight="1" thickBot="1" x14ac:dyDescent="0.3">
      <c r="C62" s="136">
        <v>44</v>
      </c>
      <c r="D62" s="278"/>
      <c r="E62" s="125" t="str">
        <f>+IFERROR(INDEX(Hoja1!$E$2:$E$45,MATCH('Análisis Resultados'!C62,Hoja1!$H$2:$H$45,0)),"")</f>
        <v>Controlar los puntos críticos en los procesos.</v>
      </c>
      <c r="F62" s="126" t="str">
        <f>+IFERROR(VLOOKUP(C62,Hoja1!$H$2:$I$45,2,0),"")</f>
        <v>Si</v>
      </c>
      <c r="G62" s="127" t="str">
        <f t="shared" si="0"/>
        <v>Existe requerimiento pero se requiere actividades  dirigidas a su mantenimiento dentro del marco de las lineas de defensa.</v>
      </c>
      <c r="H62" s="6"/>
      <c r="I62" s="139">
        <f t="shared" si="1"/>
        <v>1</v>
      </c>
      <c r="J62" s="281"/>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topLeftCell="D4" zoomScale="64" zoomScaleNormal="64" workbookViewId="0">
      <selection activeCell="F6" sqref="F6:M6"/>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09" t="s">
        <v>124</v>
      </c>
      <c r="F4" s="311" t="s">
        <v>244</v>
      </c>
      <c r="G4" s="311"/>
      <c r="H4" s="311"/>
      <c r="I4" s="311"/>
      <c r="J4" s="311"/>
      <c r="K4" s="311"/>
      <c r="L4" s="311"/>
      <c r="M4" s="311"/>
      <c r="N4" s="7"/>
      <c r="O4" s="7"/>
      <c r="P4" s="8"/>
      <c r="Q4" s="1"/>
    </row>
    <row r="5" spans="1:17" ht="45.75" customHeight="1" x14ac:dyDescent="0.3">
      <c r="A5" s="1"/>
      <c r="B5" s="5"/>
      <c r="C5" s="6"/>
      <c r="D5" s="6"/>
      <c r="E5" s="310"/>
      <c r="F5" s="311"/>
      <c r="G5" s="311"/>
      <c r="H5" s="311"/>
      <c r="I5" s="311"/>
      <c r="J5" s="311"/>
      <c r="K5" s="311"/>
      <c r="L5" s="311"/>
      <c r="M5" s="311"/>
      <c r="N5" s="7"/>
      <c r="O5" s="7"/>
      <c r="P5" s="8"/>
      <c r="Q5" s="1"/>
    </row>
    <row r="6" spans="1:17" ht="66.75" customHeight="1" x14ac:dyDescent="0.3">
      <c r="A6" s="1"/>
      <c r="B6" s="5"/>
      <c r="C6" s="6"/>
      <c r="D6" s="6"/>
      <c r="E6" s="96" t="s">
        <v>125</v>
      </c>
      <c r="F6" s="312" t="s">
        <v>243</v>
      </c>
      <c r="G6" s="313"/>
      <c r="H6" s="313"/>
      <c r="I6" s="313"/>
      <c r="J6" s="313"/>
      <c r="K6" s="313"/>
      <c r="L6" s="313"/>
      <c r="M6" s="314"/>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15" t="s">
        <v>126</v>
      </c>
      <c r="J8" s="316"/>
      <c r="K8" s="317"/>
      <c r="L8" s="6"/>
      <c r="M8" s="144">
        <f>+AVERAGE(G26,G28,G30,G32,G34)</f>
        <v>0.79547619047619045</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18" t="s">
        <v>127</v>
      </c>
      <c r="D18" s="319"/>
      <c r="E18" s="319"/>
      <c r="F18" s="319"/>
      <c r="G18" s="319"/>
      <c r="H18" s="319"/>
      <c r="I18" s="319"/>
      <c r="J18" s="319"/>
      <c r="K18" s="319"/>
      <c r="L18" s="319"/>
      <c r="M18" s="320"/>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21" t="s">
        <v>128</v>
      </c>
      <c r="D20" s="322"/>
      <c r="E20" s="147" t="s">
        <v>39</v>
      </c>
      <c r="F20" s="323" t="s">
        <v>238</v>
      </c>
      <c r="G20" s="324"/>
      <c r="H20" s="324"/>
      <c r="I20" s="324"/>
      <c r="J20" s="324"/>
      <c r="K20" s="324"/>
      <c r="L20" s="324"/>
      <c r="M20" s="325"/>
      <c r="N20" s="15"/>
      <c r="O20" s="15"/>
      <c r="P20" s="8"/>
      <c r="Q20" s="1"/>
    </row>
    <row r="21" spans="1:17" ht="126.75" customHeight="1" x14ac:dyDescent="0.25">
      <c r="A21" s="1"/>
      <c r="B21" s="5"/>
      <c r="C21" s="305" t="s">
        <v>129</v>
      </c>
      <c r="D21" s="306"/>
      <c r="E21" s="148" t="s">
        <v>39</v>
      </c>
      <c r="F21" s="323" t="s">
        <v>237</v>
      </c>
      <c r="G21" s="324"/>
      <c r="H21" s="324"/>
      <c r="I21" s="324"/>
      <c r="J21" s="324"/>
      <c r="K21" s="324"/>
      <c r="L21" s="324"/>
      <c r="M21" s="325"/>
      <c r="N21" s="15"/>
      <c r="O21" s="15"/>
      <c r="P21" s="8"/>
      <c r="Q21" s="1"/>
    </row>
    <row r="22" spans="1:17" ht="151.5" customHeight="1" thickBot="1" x14ac:dyDescent="0.3">
      <c r="A22" s="1"/>
      <c r="B22" s="5"/>
      <c r="C22" s="307" t="s">
        <v>130</v>
      </c>
      <c r="D22" s="308"/>
      <c r="E22" s="149" t="s">
        <v>39</v>
      </c>
      <c r="F22" s="323" t="s">
        <v>239</v>
      </c>
      <c r="G22" s="324"/>
      <c r="H22" s="324"/>
      <c r="I22" s="324"/>
      <c r="J22" s="324"/>
      <c r="K22" s="324"/>
      <c r="L22" s="324"/>
      <c r="M22" s="325"/>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9" t="s">
        <v>131</v>
      </c>
      <c r="D24" s="100"/>
      <c r="E24" s="99" t="s">
        <v>132</v>
      </c>
      <c r="F24" s="100"/>
      <c r="G24" s="99" t="s">
        <v>133</v>
      </c>
      <c r="H24" s="100"/>
      <c r="I24" s="329" t="s">
        <v>134</v>
      </c>
      <c r="J24" s="329"/>
      <c r="K24" s="329"/>
      <c r="L24" s="329"/>
      <c r="M24" s="329"/>
      <c r="N24" s="33"/>
      <c r="O24" s="33"/>
      <c r="P24" s="8"/>
      <c r="Q24" s="17"/>
    </row>
    <row r="25" spans="1:17" ht="13.5" customHeight="1" thickBot="1" x14ac:dyDescent="0.3">
      <c r="A25" s="1"/>
      <c r="B25" s="5"/>
      <c r="C25" s="32"/>
      <c r="D25" s="18"/>
      <c r="E25" s="18"/>
      <c r="F25" s="18"/>
      <c r="G25" s="18"/>
      <c r="H25" s="18"/>
      <c r="I25" s="330"/>
      <c r="J25" s="330"/>
      <c r="K25" s="330"/>
      <c r="L25" s="330"/>
      <c r="M25" s="330"/>
      <c r="N25" s="34"/>
      <c r="O25" s="34"/>
      <c r="P25" s="8"/>
      <c r="Q25" s="1"/>
    </row>
    <row r="26" spans="1:17" ht="155.25" customHeight="1" thickBot="1" x14ac:dyDescent="0.3">
      <c r="A26" s="1"/>
      <c r="B26" s="5"/>
      <c r="C26" s="90" t="s">
        <v>32</v>
      </c>
      <c r="D26" s="19"/>
      <c r="E26" s="145" t="str">
        <f>+IF(Hoja1!K2&gt;=0.5,"Si","No")</f>
        <v>Si</v>
      </c>
      <c r="F26" s="20"/>
      <c r="G26" s="146">
        <f>+Hoja1!K2</f>
        <v>0.79166666666666663</v>
      </c>
      <c r="H26" s="20"/>
      <c r="I26" s="326" t="s">
        <v>233</v>
      </c>
      <c r="J26" s="327"/>
      <c r="K26" s="327"/>
      <c r="L26" s="327"/>
      <c r="M26" s="328"/>
      <c r="N26" s="35"/>
      <c r="O26" s="36"/>
      <c r="P26" s="21"/>
      <c r="Q26" s="22"/>
    </row>
    <row r="27" spans="1:17" ht="27" thickBot="1" x14ac:dyDescent="0.45">
      <c r="A27" s="1"/>
      <c r="B27" s="5"/>
      <c r="C27" s="91"/>
      <c r="D27" s="23"/>
      <c r="E27" s="98"/>
      <c r="F27" s="18"/>
      <c r="G27" s="24"/>
      <c r="H27" s="18"/>
      <c r="I27" s="331"/>
      <c r="J27" s="331"/>
      <c r="K27" s="331"/>
      <c r="L27" s="331"/>
      <c r="M27" s="331"/>
      <c r="N27" s="37"/>
      <c r="O27" s="37"/>
      <c r="P27" s="8"/>
      <c r="Q27" s="1"/>
    </row>
    <row r="28" spans="1:17" ht="111.75" customHeight="1" thickBot="1" x14ac:dyDescent="0.3">
      <c r="A28" s="1"/>
      <c r="B28" s="5"/>
      <c r="C28" s="92" t="s">
        <v>135</v>
      </c>
      <c r="D28" s="19"/>
      <c r="E28" s="145" t="str">
        <f>+IF(Hoja1!K14&gt;=0.5,"Si","No")</f>
        <v>Si</v>
      </c>
      <c r="F28" s="18"/>
      <c r="G28" s="146">
        <f>+Hoja1!K14</f>
        <v>0.9</v>
      </c>
      <c r="H28" s="18"/>
      <c r="I28" s="326" t="s">
        <v>234</v>
      </c>
      <c r="J28" s="327"/>
      <c r="K28" s="327"/>
      <c r="L28" s="327"/>
      <c r="M28" s="328"/>
      <c r="N28" s="35"/>
      <c r="O28" s="35"/>
      <c r="P28" s="8"/>
      <c r="Q28" s="1"/>
    </row>
    <row r="29" spans="1:17" ht="27" thickBot="1" x14ac:dyDescent="0.45">
      <c r="A29" s="1"/>
      <c r="B29" s="5"/>
      <c r="C29" s="91"/>
      <c r="D29" s="23"/>
      <c r="E29" s="98"/>
      <c r="F29" s="18"/>
      <c r="G29" s="24"/>
      <c r="H29" s="18"/>
      <c r="I29" s="331"/>
      <c r="J29" s="331"/>
      <c r="K29" s="331"/>
      <c r="L29" s="331"/>
      <c r="M29" s="331"/>
      <c r="N29" s="37"/>
      <c r="O29" s="37"/>
      <c r="P29" s="8"/>
      <c r="Q29" s="1"/>
    </row>
    <row r="30" spans="1:17" ht="123" customHeight="1" thickBot="1" x14ac:dyDescent="0.3">
      <c r="A30" s="1"/>
      <c r="B30" s="5"/>
      <c r="C30" s="93" t="s">
        <v>136</v>
      </c>
      <c r="D30" s="19"/>
      <c r="E30" s="145" t="str">
        <f>+IF(Hoja1!K24&gt;=0.5,"Si","No")</f>
        <v>Si</v>
      </c>
      <c r="F30" s="18"/>
      <c r="G30" s="146">
        <f>+Hoja1!K24</f>
        <v>0.7</v>
      </c>
      <c r="H30" s="18"/>
      <c r="I30" s="326" t="s">
        <v>235</v>
      </c>
      <c r="J30" s="327"/>
      <c r="K30" s="327"/>
      <c r="L30" s="327"/>
      <c r="M30" s="328"/>
      <c r="N30" s="35"/>
      <c r="O30" s="35"/>
      <c r="P30" s="8"/>
      <c r="Q30" s="1"/>
    </row>
    <row r="31" spans="1:17" ht="27" thickBot="1" x14ac:dyDescent="0.45">
      <c r="A31" s="1"/>
      <c r="B31" s="5"/>
      <c r="C31" s="91"/>
      <c r="D31" s="23"/>
      <c r="E31" s="98"/>
      <c r="F31" s="18"/>
      <c r="G31" s="24"/>
      <c r="H31" s="18"/>
      <c r="I31" s="331"/>
      <c r="J31" s="331"/>
      <c r="K31" s="331"/>
      <c r="L31" s="331"/>
      <c r="M31" s="331"/>
      <c r="N31" s="37"/>
      <c r="O31" s="37"/>
      <c r="P31" s="8"/>
      <c r="Q31" s="1"/>
    </row>
    <row r="32" spans="1:17" ht="171" customHeight="1" thickBot="1" x14ac:dyDescent="0.3">
      <c r="A32" s="1"/>
      <c r="B32" s="5"/>
      <c r="C32" s="94" t="s">
        <v>87</v>
      </c>
      <c r="D32" s="19"/>
      <c r="E32" s="145" t="str">
        <f>+IF(Hoja1!K29&gt;=0.5,"Si","No")</f>
        <v>Si</v>
      </c>
      <c r="F32" s="18"/>
      <c r="G32" s="146">
        <f>+Hoja1!K29</f>
        <v>0.7857142857142857</v>
      </c>
      <c r="H32" s="18"/>
      <c r="I32" s="326" t="s">
        <v>236</v>
      </c>
      <c r="J32" s="327"/>
      <c r="K32" s="327"/>
      <c r="L32" s="327"/>
      <c r="M32" s="328"/>
      <c r="N32" s="35"/>
      <c r="O32" s="35"/>
      <c r="P32" s="8"/>
      <c r="Q32" s="1"/>
    </row>
    <row r="33" spans="1:17" ht="27" thickBot="1" x14ac:dyDescent="0.45">
      <c r="A33" s="1"/>
      <c r="B33" s="5"/>
      <c r="C33" s="91"/>
      <c r="D33" s="23"/>
      <c r="E33" s="98"/>
      <c r="F33" s="18"/>
      <c r="G33" s="24"/>
      <c r="H33" s="18"/>
      <c r="I33" s="331"/>
      <c r="J33" s="331"/>
      <c r="K33" s="331"/>
      <c r="L33" s="331"/>
      <c r="M33" s="331"/>
      <c r="N33" s="37"/>
      <c r="O33" s="37"/>
      <c r="P33" s="8"/>
      <c r="Q33" s="1"/>
    </row>
    <row r="34" spans="1:17" ht="164.25" customHeight="1" thickBot="1" x14ac:dyDescent="0.3">
      <c r="A34" s="1"/>
      <c r="B34" s="5"/>
      <c r="C34" s="95" t="s">
        <v>137</v>
      </c>
      <c r="D34" s="19"/>
      <c r="E34" s="97" t="str">
        <f>+IF(Hoja1!K36&gt;=0.5,"Si","No")</f>
        <v>Si</v>
      </c>
      <c r="F34" s="18"/>
      <c r="G34" s="146">
        <f>+Hoja1!K36</f>
        <v>0.8</v>
      </c>
      <c r="H34" s="18"/>
      <c r="I34" s="326" t="s">
        <v>242</v>
      </c>
      <c r="J34" s="327"/>
      <c r="K34" s="327"/>
      <c r="L34" s="327"/>
      <c r="M34" s="328"/>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50" t="s">
        <v>25</v>
      </c>
      <c r="B1" s="150" t="s">
        <v>6</v>
      </c>
      <c r="C1" s="151" t="s">
        <v>8</v>
      </c>
      <c r="D1" s="152" t="s">
        <v>26</v>
      </c>
      <c r="E1" s="152" t="s">
        <v>27</v>
      </c>
      <c r="F1" s="152" t="s">
        <v>138</v>
      </c>
      <c r="G1" s="153" t="s">
        <v>139</v>
      </c>
      <c r="H1" s="153" t="s">
        <v>140</v>
      </c>
      <c r="I1" s="153" t="s">
        <v>119</v>
      </c>
      <c r="J1" s="153" t="s">
        <v>141</v>
      </c>
      <c r="K1" s="153" t="s">
        <v>142</v>
      </c>
    </row>
    <row r="2" spans="1:11" x14ac:dyDescent="0.25">
      <c r="A2" s="154" t="s">
        <v>143</v>
      </c>
      <c r="B2" s="154" t="str">
        <f>+VLOOKUP(A2,'Estado SCI'!$A$16:$C$59,3,0)</f>
        <v>AMBIENTE DE CONTROL</v>
      </c>
      <c r="C2" s="154" t="s">
        <v>33</v>
      </c>
      <c r="D2" s="154" t="s">
        <v>34</v>
      </c>
      <c r="E2" s="154" t="s">
        <v>35</v>
      </c>
      <c r="F2" s="154" t="str">
        <f>+VLOOKUP(A2,'Estado SCI'!$A$16:$I$59,9,0)</f>
        <v>Mantenimiento del control</v>
      </c>
      <c r="G2" s="154">
        <f>+VLOOKUP(A2,'Estado SCI'!$A$16:$L$59,12,0)</f>
        <v>20.123000000000001</v>
      </c>
      <c r="H2" s="154">
        <f t="shared" ref="H2:H45" si="0">+_xlfn.RANK.EQ(G2,$G$2:$G$45,1)</f>
        <v>6</v>
      </c>
      <c r="I2" s="154" t="str">
        <f>+IF(VLOOKUP(A2,'Estado SCI'!$A$16:$G$59,7,0)="","",VLOOKUP(A2,'Estado SCI'!$A$16:$G$59,7,0))</f>
        <v>Si</v>
      </c>
      <c r="J2" s="155">
        <f>+IF(I2="Si",1,IF(I2="En proceso",0.5,0))</f>
        <v>1</v>
      </c>
      <c r="K2" s="156">
        <f t="shared" ref="K2:K45" si="1">+AVERAGEIF($B$2:$B$45,B2,$J$2:$J$45)</f>
        <v>0.79166666666666663</v>
      </c>
    </row>
    <row r="3" spans="1:11" x14ac:dyDescent="0.25">
      <c r="A3" s="154" t="s">
        <v>144</v>
      </c>
      <c r="B3" s="154" t="s">
        <v>32</v>
      </c>
      <c r="C3" s="154" t="s">
        <v>33</v>
      </c>
      <c r="D3" s="154" t="s">
        <v>37</v>
      </c>
      <c r="E3" s="154" t="s">
        <v>38</v>
      </c>
      <c r="F3" s="154" t="str">
        <f>+VLOOKUP(A3,'Estado SCI'!$A$16:$I$59,9,0)</f>
        <v>Mantenimiento del control</v>
      </c>
      <c r="G3" s="154">
        <f>+VLOOKUP(A3,'Estado SCI'!$A$16:$L$59,12,0)</f>
        <v>20.1234</v>
      </c>
      <c r="H3" s="154">
        <f t="shared" si="0"/>
        <v>7</v>
      </c>
      <c r="I3" s="154" t="str">
        <f>+IF(VLOOKUP(A3,'Estado SCI'!$A$16:$G$59,7,0)="","",VLOOKUP(A3,'Estado SCI'!$A$16:$G$59,7,0))</f>
        <v>Si</v>
      </c>
      <c r="J3" s="155">
        <f t="shared" ref="J3:J45" si="2">+IF(I3="Si",1,IF(I3="En proceso",0.5,0))</f>
        <v>1</v>
      </c>
      <c r="K3" s="156">
        <f t="shared" si="1"/>
        <v>0.79166666666666663</v>
      </c>
    </row>
    <row r="4" spans="1:11" x14ac:dyDescent="0.25">
      <c r="A4" s="154" t="s">
        <v>145</v>
      </c>
      <c r="B4" s="154" t="s">
        <v>32</v>
      </c>
      <c r="C4" s="154" t="s">
        <v>33</v>
      </c>
      <c r="D4" s="154" t="s">
        <v>40</v>
      </c>
      <c r="E4" s="154" t="s">
        <v>41</v>
      </c>
      <c r="F4" s="154" t="str">
        <f>+VLOOKUP(A4,'Estado SCI'!$A$16:$I$59,9,0)</f>
        <v>Mantenimiento del control</v>
      </c>
      <c r="G4" s="154">
        <f>+VLOOKUP(A4,'Estado SCI'!$A$16:$L$59,12,0)</f>
        <v>20.123449999999998</v>
      </c>
      <c r="H4" s="154">
        <f t="shared" si="0"/>
        <v>8</v>
      </c>
      <c r="I4" s="154" t="str">
        <f>+IF(VLOOKUP(A4,'Estado SCI'!$A$16:$G$59,7,0)="","",VLOOKUP(A4,'Estado SCI'!$A$16:$G$59,7,0))</f>
        <v>Si</v>
      </c>
      <c r="J4" s="155">
        <f t="shared" si="2"/>
        <v>1</v>
      </c>
      <c r="K4" s="156">
        <f t="shared" si="1"/>
        <v>0.79166666666666663</v>
      </c>
    </row>
    <row r="5" spans="1:11" x14ac:dyDescent="0.25">
      <c r="A5" s="154" t="s">
        <v>146</v>
      </c>
      <c r="B5" s="154" t="s">
        <v>32</v>
      </c>
      <c r="C5" s="154" t="s">
        <v>33</v>
      </c>
      <c r="D5" s="154" t="s">
        <v>42</v>
      </c>
      <c r="E5" s="154" t="s">
        <v>43</v>
      </c>
      <c r="F5" s="154" t="str">
        <f>+VLOOKUP(A5,'Estado SCI'!$A$16:$I$59,9,0)</f>
        <v>Mantenimiento del control</v>
      </c>
      <c r="G5" s="154">
        <f>+VLOOKUP(A5,'Estado SCI'!$A$16:$L$59,12,0)</f>
        <v>20.123456000000001</v>
      </c>
      <c r="H5" s="154">
        <f t="shared" si="0"/>
        <v>9</v>
      </c>
      <c r="I5" s="154" t="str">
        <f>+IF(VLOOKUP(A5,'Estado SCI'!$A$16:$G$59,7,0)="","",VLOOKUP(A5,'Estado SCI'!$A$16:$G$59,7,0))</f>
        <v>Si</v>
      </c>
      <c r="J5" s="155">
        <f t="shared" si="2"/>
        <v>1</v>
      </c>
      <c r="K5" s="156">
        <f t="shared" si="1"/>
        <v>0.79166666666666663</v>
      </c>
    </row>
    <row r="6" spans="1:11" x14ac:dyDescent="0.25">
      <c r="A6" s="154" t="s">
        <v>147</v>
      </c>
      <c r="B6" s="154" t="s">
        <v>32</v>
      </c>
      <c r="C6" s="154" t="s">
        <v>33</v>
      </c>
      <c r="D6" s="154" t="s">
        <v>44</v>
      </c>
      <c r="E6" s="154" t="s">
        <v>45</v>
      </c>
      <c r="F6" s="154" t="str">
        <f>+VLOOKUP(A6,'Estado SCI'!$A$16:$I$59,9,0)</f>
        <v>Oportunidad de mejora</v>
      </c>
      <c r="G6" s="154">
        <f>+VLOOKUP(A6,'Estado SCI'!$A$16:$L$59,12,0)</f>
        <v>10.12345678</v>
      </c>
      <c r="H6" s="154">
        <f t="shared" si="0"/>
        <v>1</v>
      </c>
      <c r="I6" s="154" t="str">
        <f>+IF(VLOOKUP(A6,'Estado SCI'!$A$16:$G$59,7,0)="","",VLOOKUP(A6,'Estado SCI'!$A$16:$G$59,7,0))</f>
        <v>En proceso</v>
      </c>
      <c r="J6" s="155">
        <f t="shared" si="2"/>
        <v>0.5</v>
      </c>
      <c r="K6" s="156">
        <f t="shared" si="1"/>
        <v>0.79166666666666663</v>
      </c>
    </row>
    <row r="7" spans="1:11" x14ac:dyDescent="0.25">
      <c r="A7" s="154" t="s">
        <v>148</v>
      </c>
      <c r="B7" s="154" t="s">
        <v>32</v>
      </c>
      <c r="C7" s="154" t="s">
        <v>33</v>
      </c>
      <c r="D7" s="154" t="s">
        <v>46</v>
      </c>
      <c r="E7" s="154" t="s">
        <v>47</v>
      </c>
      <c r="F7" s="154" t="str">
        <f>+VLOOKUP(A7,'Estado SCI'!$A$16:$I$59,9,0)</f>
        <v>Mantenimiento del control</v>
      </c>
      <c r="G7" s="154">
        <f>+VLOOKUP(A7,'Estado SCI'!$A$16:$L$59,12,0)</f>
        <v>20.123456788999999</v>
      </c>
      <c r="H7" s="154">
        <f t="shared" si="0"/>
        <v>10</v>
      </c>
      <c r="I7" s="154" t="str">
        <f>+IF(VLOOKUP(A7,'Estado SCI'!$A$16:$G$59,7,0)="","",VLOOKUP(A7,'Estado SCI'!$A$16:$G$59,7,0))</f>
        <v>Si</v>
      </c>
      <c r="J7" s="155">
        <f t="shared" si="2"/>
        <v>1</v>
      </c>
      <c r="K7" s="156">
        <f t="shared" si="1"/>
        <v>0.79166666666666663</v>
      </c>
    </row>
    <row r="8" spans="1:11" x14ac:dyDescent="0.25">
      <c r="A8" s="154" t="s">
        <v>149</v>
      </c>
      <c r="B8" s="154" t="s">
        <v>32</v>
      </c>
      <c r="C8" s="154" t="s">
        <v>33</v>
      </c>
      <c r="D8" s="154" t="s">
        <v>48</v>
      </c>
      <c r="E8" s="154" t="s">
        <v>49</v>
      </c>
      <c r="F8" s="154" t="str">
        <f>+VLOOKUP(A8,'Estado SCI'!$A$16:$I$59,9,0)</f>
        <v>Mantenimiento del control</v>
      </c>
      <c r="G8" s="154">
        <f>+VLOOKUP(A8,'Estado SCI'!$A$16:$L$59,12,0)</f>
        <v>20.1234567891</v>
      </c>
      <c r="H8" s="154">
        <f t="shared" si="0"/>
        <v>11</v>
      </c>
      <c r="I8" s="154" t="str">
        <f>+IF(VLOOKUP(A8,'Estado SCI'!$A$16:$G$59,7,0)="","",VLOOKUP(A8,'Estado SCI'!$A$16:$G$59,7,0))</f>
        <v>Si</v>
      </c>
      <c r="J8" s="155">
        <f t="shared" si="2"/>
        <v>1</v>
      </c>
      <c r="K8" s="156">
        <f t="shared" si="1"/>
        <v>0.79166666666666663</v>
      </c>
    </row>
    <row r="9" spans="1:11" x14ac:dyDescent="0.25">
      <c r="A9" s="154" t="s">
        <v>150</v>
      </c>
      <c r="B9" s="154" t="s">
        <v>32</v>
      </c>
      <c r="C9" s="154" t="s">
        <v>33</v>
      </c>
      <c r="D9" s="154" t="s">
        <v>50</v>
      </c>
      <c r="E9" s="154" t="s">
        <v>51</v>
      </c>
      <c r="F9" s="154" t="str">
        <f>+VLOOKUP(A9,'Estado SCI'!$A$16:$I$59,9,0)</f>
        <v>Oportunidad de mejora</v>
      </c>
      <c r="G9" s="154">
        <f>+VLOOKUP(A9,'Estado SCI'!$A$16:$L$59,12,0)</f>
        <v>10.12345678912</v>
      </c>
      <c r="H9" s="154">
        <f t="shared" si="0"/>
        <v>2</v>
      </c>
      <c r="I9" s="154" t="str">
        <f>+IF(VLOOKUP(A9,'Estado SCI'!$A$16:$G$59,7,0)="","",VLOOKUP(A9,'Estado SCI'!$A$16:$G$59,7,0))</f>
        <v>En proceso</v>
      </c>
      <c r="J9" s="155">
        <f t="shared" si="2"/>
        <v>0.5</v>
      </c>
      <c r="K9" s="156">
        <f t="shared" si="1"/>
        <v>0.79166666666666663</v>
      </c>
    </row>
    <row r="10" spans="1:11" x14ac:dyDescent="0.25">
      <c r="A10" s="154" t="s">
        <v>151</v>
      </c>
      <c r="B10" s="154" t="s">
        <v>32</v>
      </c>
      <c r="C10" s="154" t="s">
        <v>33</v>
      </c>
      <c r="D10" s="154" t="s">
        <v>52</v>
      </c>
      <c r="E10" s="154" t="s">
        <v>53</v>
      </c>
      <c r="F10" s="154" t="str">
        <f>+VLOOKUP(A10,'Estado SCI'!$A$16:$I$59,9,0)</f>
        <v>Oportunidad de mejora</v>
      </c>
      <c r="G10" s="154">
        <f>+VLOOKUP(A10,'Estado SCI'!$A$16:$L$59,12,0)</f>
        <v>10.123456789123001</v>
      </c>
      <c r="H10" s="154">
        <f t="shared" si="0"/>
        <v>3</v>
      </c>
      <c r="I10" s="154" t="str">
        <f>+IF(VLOOKUP(A10,'Estado SCI'!$A$16:$G$59,7,0)="","",VLOOKUP(A10,'Estado SCI'!$A$16:$G$59,7,0))</f>
        <v>En proceso</v>
      </c>
      <c r="J10" s="155">
        <f t="shared" si="2"/>
        <v>0.5</v>
      </c>
      <c r="K10" s="156">
        <f t="shared" si="1"/>
        <v>0.79166666666666663</v>
      </c>
    </row>
    <row r="11" spans="1:11" x14ac:dyDescent="0.25">
      <c r="A11" s="154" t="s">
        <v>152</v>
      </c>
      <c r="B11" s="154" t="s">
        <v>32</v>
      </c>
      <c r="C11" s="154" t="s">
        <v>33</v>
      </c>
      <c r="D11" s="154" t="s">
        <v>54</v>
      </c>
      <c r="E11" s="154" t="s">
        <v>55</v>
      </c>
      <c r="F11" s="154" t="str">
        <f>+VLOOKUP(A11,'Estado SCI'!$A$16:$I$59,9,0)</f>
        <v>Oportunidad de mejora</v>
      </c>
      <c r="G11" s="154">
        <f>+VLOOKUP(A11,'Estado SCI'!$A$16:$L$59,12,0)</f>
        <v>10.1234567891234</v>
      </c>
      <c r="H11" s="154">
        <f t="shared" si="0"/>
        <v>4</v>
      </c>
      <c r="I11" s="154" t="str">
        <f>+IF(VLOOKUP(A11,'Estado SCI'!$A$16:$G$59,7,0)="","",VLOOKUP(A11,'Estado SCI'!$A$16:$G$59,7,0))</f>
        <v>En proceso</v>
      </c>
      <c r="J11" s="155">
        <f t="shared" si="2"/>
        <v>0.5</v>
      </c>
      <c r="K11" s="156">
        <f t="shared" si="1"/>
        <v>0.79166666666666663</v>
      </c>
    </row>
    <row r="12" spans="1:11" x14ac:dyDescent="0.25">
      <c r="A12" s="154" t="s">
        <v>153</v>
      </c>
      <c r="B12" s="154" t="s">
        <v>32</v>
      </c>
      <c r="C12" s="154" t="s">
        <v>33</v>
      </c>
      <c r="D12" s="154" t="s">
        <v>56</v>
      </c>
      <c r="E12" s="154" t="s">
        <v>57</v>
      </c>
      <c r="F12" s="154" t="str">
        <f>+VLOOKUP(A12,'Estado SCI'!$A$16:$I$59,9,0)</f>
        <v>Mantenimiento del control</v>
      </c>
      <c r="G12" s="154">
        <f>+VLOOKUP(A12,'Estado SCI'!$A$16:$L$59,12,0)</f>
        <v>20.123456789123448</v>
      </c>
      <c r="H12" s="154">
        <f t="shared" si="0"/>
        <v>12</v>
      </c>
      <c r="I12" s="154" t="str">
        <f>+IF(VLOOKUP(A12,'Estado SCI'!$A$16:$G$59,7,0)="","",VLOOKUP(A12,'Estado SCI'!$A$16:$G$59,7,0))</f>
        <v>Si</v>
      </c>
      <c r="J12" s="155">
        <f t="shared" si="2"/>
        <v>1</v>
      </c>
      <c r="K12" s="156">
        <f t="shared" si="1"/>
        <v>0.79166666666666663</v>
      </c>
    </row>
    <row r="13" spans="1:11" x14ac:dyDescent="0.25">
      <c r="A13" s="154" t="s">
        <v>154</v>
      </c>
      <c r="B13" s="154" t="s">
        <v>32</v>
      </c>
      <c r="C13" s="154" t="s">
        <v>33</v>
      </c>
      <c r="D13" s="154" t="s">
        <v>58</v>
      </c>
      <c r="E13" s="154" t="s">
        <v>59</v>
      </c>
      <c r="F13" s="154" t="str">
        <f>+VLOOKUP(A13,'Estado SCI'!$A$16:$I$59,9,0)</f>
        <v>Oportunidad de mejora</v>
      </c>
      <c r="G13" s="154">
        <f>+VLOOKUP(A13,'Estado SCI'!$A$16:$L$59,12,0)</f>
        <v>10.123456789123455</v>
      </c>
      <c r="H13" s="154">
        <f t="shared" si="0"/>
        <v>5</v>
      </c>
      <c r="I13" s="154" t="str">
        <f>+IF(VLOOKUP(A13,'Estado SCI'!$A$16:$G$59,7,0)="","",VLOOKUP(A13,'Estado SCI'!$A$16:$G$59,7,0))</f>
        <v>En proceso</v>
      </c>
      <c r="J13" s="155">
        <f t="shared" si="2"/>
        <v>0.5</v>
      </c>
      <c r="K13" s="156">
        <f t="shared" si="1"/>
        <v>0.79166666666666663</v>
      </c>
    </row>
    <row r="14" spans="1:11" ht="15" customHeight="1" x14ac:dyDescent="0.25">
      <c r="A14" s="154" t="s">
        <v>155</v>
      </c>
      <c r="B14" s="154" t="str">
        <f>+VLOOKUP(A14,'Estado SCI'!$A$16:$C$59,3,0)</f>
        <v>EVALUACION DEL RIESGO</v>
      </c>
      <c r="C14" s="154" t="s">
        <v>62</v>
      </c>
      <c r="D14" s="154" t="s">
        <v>34</v>
      </c>
      <c r="E14" s="154" t="s">
        <v>156</v>
      </c>
      <c r="F14" s="154" t="str">
        <f>+VLOOKUP(A14,'Estado SCI'!$A$16:$I$59,9,0)</f>
        <v>Mantenimiento del control</v>
      </c>
      <c r="G14" s="154">
        <f>+VLOOKUP(A14,'Estado SCI'!$A$16:$L$59,12,0)</f>
        <v>40.229999999999997</v>
      </c>
      <c r="H14" s="154">
        <f t="shared" si="0"/>
        <v>15</v>
      </c>
      <c r="I14" s="154" t="str">
        <f>+IF(VLOOKUP(A14,'Estado SCI'!$A$16:$G$59,7,0)="","",VLOOKUP(A14,'Estado SCI'!$A$16:$G$59,7,0))</f>
        <v>Si</v>
      </c>
      <c r="J14" s="155">
        <f t="shared" si="2"/>
        <v>1</v>
      </c>
      <c r="K14" s="156">
        <f t="shared" si="1"/>
        <v>0.9</v>
      </c>
    </row>
    <row r="15" spans="1:11" ht="15" customHeight="1" x14ac:dyDescent="0.25">
      <c r="A15" s="154" t="s">
        <v>157</v>
      </c>
      <c r="B15" s="154" t="s">
        <v>61</v>
      </c>
      <c r="C15" s="154" t="s">
        <v>62</v>
      </c>
      <c r="D15" s="154" t="s">
        <v>37</v>
      </c>
      <c r="E15" s="154" t="s">
        <v>158</v>
      </c>
      <c r="F15" s="154" t="str">
        <f>+VLOOKUP(A15,'Estado SCI'!$A$16:$I$59,9,0)</f>
        <v>Mantenimiento del control</v>
      </c>
      <c r="G15" s="154">
        <f>+VLOOKUP(A15,'Estado SCI'!$A$16:$L$59,12,0)</f>
        <v>40.234000000000002</v>
      </c>
      <c r="H15" s="154">
        <f t="shared" si="0"/>
        <v>16</v>
      </c>
      <c r="I15" s="154" t="str">
        <f>+IF(VLOOKUP(A15,'Estado SCI'!$A$16:$G$59,7,0)="","",VLOOKUP(A15,'Estado SCI'!$A$16:$G$59,7,0))</f>
        <v>Si</v>
      </c>
      <c r="J15" s="155">
        <f t="shared" si="2"/>
        <v>1</v>
      </c>
      <c r="K15" s="156">
        <f t="shared" si="1"/>
        <v>0.9</v>
      </c>
    </row>
    <row r="16" spans="1:11" ht="15" customHeight="1" x14ac:dyDescent="0.25">
      <c r="A16" s="154" t="s">
        <v>159</v>
      </c>
      <c r="B16" s="154" t="s">
        <v>61</v>
      </c>
      <c r="C16" s="154" t="s">
        <v>62</v>
      </c>
      <c r="D16" s="154" t="s">
        <v>40</v>
      </c>
      <c r="E16" s="154" t="s">
        <v>160</v>
      </c>
      <c r="F16" s="154" t="str">
        <f>+VLOOKUP(A16,'Estado SCI'!$A$16:$I$59,9,0)</f>
        <v>Mantenimiento del control</v>
      </c>
      <c r="G16" s="154">
        <f>+VLOOKUP(A16,'Estado SCI'!$A$16:$L$59,12,0)</f>
        <v>40.234499999999997</v>
      </c>
      <c r="H16" s="154">
        <f t="shared" si="0"/>
        <v>17</v>
      </c>
      <c r="I16" s="154" t="str">
        <f>+IF(VLOOKUP(A16,'Estado SCI'!$A$16:$G$59,7,0)="","",VLOOKUP(A16,'Estado SCI'!$A$16:$G$59,7,0))</f>
        <v>Si</v>
      </c>
      <c r="J16" s="155">
        <f t="shared" si="2"/>
        <v>1</v>
      </c>
      <c r="K16" s="156">
        <f t="shared" si="1"/>
        <v>0.9</v>
      </c>
    </row>
    <row r="17" spans="1:11" ht="15.75" customHeight="1" x14ac:dyDescent="0.25">
      <c r="A17" s="154" t="s">
        <v>161</v>
      </c>
      <c r="B17" s="154" t="s">
        <v>61</v>
      </c>
      <c r="C17" s="154" t="s">
        <v>62</v>
      </c>
      <c r="D17" s="154" t="s">
        <v>42</v>
      </c>
      <c r="E17" s="154" t="s">
        <v>66</v>
      </c>
      <c r="F17" s="154" t="str">
        <f>+VLOOKUP(A17,'Estado SCI'!$A$16:$I$59,9,0)</f>
        <v>Mantenimiento del control</v>
      </c>
      <c r="G17" s="154">
        <f>+VLOOKUP(A17,'Estado SCI'!$A$16:$L$59,12,0)</f>
        <v>40.234560000000002</v>
      </c>
      <c r="H17" s="154">
        <f t="shared" si="0"/>
        <v>18</v>
      </c>
      <c r="I17" s="154" t="str">
        <f>+IF(VLOOKUP(A17,'Estado SCI'!$A$16:$G$59,7,0)="","",VLOOKUP(A17,'Estado SCI'!$A$16:$G$59,7,0))</f>
        <v>Si</v>
      </c>
      <c r="J17" s="155">
        <f t="shared" si="2"/>
        <v>1</v>
      </c>
      <c r="K17" s="156">
        <f t="shared" si="1"/>
        <v>0.9</v>
      </c>
    </row>
    <row r="18" spans="1:11" ht="15" customHeight="1" x14ac:dyDescent="0.25">
      <c r="A18" s="154" t="s">
        <v>162</v>
      </c>
      <c r="B18" s="154" t="s">
        <v>61</v>
      </c>
      <c r="C18" s="154" t="s">
        <v>80</v>
      </c>
      <c r="D18" s="154" t="s">
        <v>34</v>
      </c>
      <c r="E18" s="154" t="s">
        <v>69</v>
      </c>
      <c r="F18" s="154" t="str">
        <f>+VLOOKUP(A18,'Estado SCI'!$A$16:$I$59,9,0)</f>
        <v>Mantenimiento del control</v>
      </c>
      <c r="G18" s="154">
        <f>+VLOOKUP(A18,'Estado SCI'!$A$16:$L$59,12,0)</f>
        <v>40.234566999999998</v>
      </c>
      <c r="H18" s="154">
        <f t="shared" si="0"/>
        <v>19</v>
      </c>
      <c r="I18" s="154" t="str">
        <f>+IF(VLOOKUP(A18,'Estado SCI'!$A$16:$G$59,7,0)="","",VLOOKUP(A18,'Estado SCI'!$A$16:$G$59,7,0))</f>
        <v>Si</v>
      </c>
      <c r="J18" s="155">
        <f t="shared" si="2"/>
        <v>1</v>
      </c>
      <c r="K18" s="156">
        <f t="shared" si="1"/>
        <v>0.9</v>
      </c>
    </row>
    <row r="19" spans="1:11" ht="15" customHeight="1" x14ac:dyDescent="0.25">
      <c r="A19" s="154" t="s">
        <v>163</v>
      </c>
      <c r="B19" s="154" t="s">
        <v>61</v>
      </c>
      <c r="C19" s="154" t="s">
        <v>80</v>
      </c>
      <c r="D19" s="154" t="s">
        <v>37</v>
      </c>
      <c r="E19" s="154" t="s">
        <v>70</v>
      </c>
      <c r="F19" s="154" t="str">
        <f>+VLOOKUP(A19,'Estado SCI'!$A$16:$I$59,9,0)</f>
        <v>Mantenimiento del control</v>
      </c>
      <c r="G19" s="154">
        <f>+VLOOKUP(A19,'Estado SCI'!$A$16:$L$59,12,0)</f>
        <v>40.234567800000001</v>
      </c>
      <c r="H19" s="154">
        <f t="shared" si="0"/>
        <v>20</v>
      </c>
      <c r="I19" s="154" t="str">
        <f>+IF(VLOOKUP(A19,'Estado SCI'!$A$16:$G$59,7,0)="","",VLOOKUP(A19,'Estado SCI'!$A$16:$G$59,7,0))</f>
        <v>Si</v>
      </c>
      <c r="J19" s="155">
        <f t="shared" si="2"/>
        <v>1</v>
      </c>
      <c r="K19" s="156">
        <f t="shared" si="1"/>
        <v>0.9</v>
      </c>
    </row>
    <row r="20" spans="1:11" ht="15" customHeight="1" x14ac:dyDescent="0.25">
      <c r="A20" s="154" t="s">
        <v>164</v>
      </c>
      <c r="B20" s="154" t="s">
        <v>61</v>
      </c>
      <c r="C20" s="154" t="s">
        <v>80</v>
      </c>
      <c r="D20" s="154" t="s">
        <v>40</v>
      </c>
      <c r="E20" s="154" t="s">
        <v>71</v>
      </c>
      <c r="F20" s="154" t="str">
        <f>+VLOOKUP(A20,'Estado SCI'!$A$16:$I$59,9,0)</f>
        <v>Mantenimiento del control</v>
      </c>
      <c r="G20" s="154">
        <f>+VLOOKUP(A20,'Estado SCI'!$A$16:$L$59,12,0)</f>
        <v>40.234567890000001</v>
      </c>
      <c r="H20" s="154">
        <f t="shared" si="0"/>
        <v>21</v>
      </c>
      <c r="I20" s="154" t="str">
        <f>+IF(VLOOKUP(A20,'Estado SCI'!$A$16:$G$59,7,0)="","",VLOOKUP(A20,'Estado SCI'!$A$16:$G$59,7,0))</f>
        <v>Si</v>
      </c>
      <c r="J20" s="155">
        <f t="shared" si="2"/>
        <v>1</v>
      </c>
      <c r="K20" s="156">
        <f t="shared" si="1"/>
        <v>0.9</v>
      </c>
    </row>
    <row r="21" spans="1:11" ht="15.75" customHeight="1" x14ac:dyDescent="0.25">
      <c r="A21" s="154" t="s">
        <v>165</v>
      </c>
      <c r="B21" s="154" t="s">
        <v>61</v>
      </c>
      <c r="C21" s="154" t="s">
        <v>80</v>
      </c>
      <c r="D21" s="154" t="s">
        <v>34</v>
      </c>
      <c r="E21" s="154" t="s">
        <v>74</v>
      </c>
      <c r="F21" s="154" t="str">
        <f>+VLOOKUP(A21,'Estado SCI'!$A$16:$I$59,9,0)</f>
        <v>Oportunidad de mejora</v>
      </c>
      <c r="G21" s="154">
        <f>+VLOOKUP(A21,'Estado SCI'!$A$16:$L$59,12,0)</f>
        <v>30.234567891200001</v>
      </c>
      <c r="H21" s="154">
        <f t="shared" si="0"/>
        <v>13</v>
      </c>
      <c r="I21" s="154" t="str">
        <f>+IF(VLOOKUP(A21,'Estado SCI'!$A$16:$G$59,7,0)="","",VLOOKUP(A21,'Estado SCI'!$A$16:$G$59,7,0))</f>
        <v>En proceso</v>
      </c>
      <c r="J21" s="155">
        <f t="shared" si="2"/>
        <v>0.5</v>
      </c>
      <c r="K21" s="156">
        <f t="shared" si="1"/>
        <v>0.9</v>
      </c>
    </row>
    <row r="22" spans="1:11" ht="15" customHeight="1" x14ac:dyDescent="0.25">
      <c r="A22" s="154" t="s">
        <v>166</v>
      </c>
      <c r="B22" s="154" t="s">
        <v>61</v>
      </c>
      <c r="C22" s="154" t="s">
        <v>88</v>
      </c>
      <c r="D22" s="154" t="s">
        <v>37</v>
      </c>
      <c r="E22" s="154" t="s">
        <v>75</v>
      </c>
      <c r="F22" s="154" t="str">
        <f>+VLOOKUP(A22,'Estado SCI'!$A$16:$I$59,9,0)</f>
        <v>Oportunidad de mejora</v>
      </c>
      <c r="G22" s="154">
        <f>+VLOOKUP(A22,'Estado SCI'!$A$16:$L$59,12,0)</f>
        <v>30.23456789123</v>
      </c>
      <c r="H22" s="154">
        <f t="shared" si="0"/>
        <v>14</v>
      </c>
      <c r="I22" s="154" t="str">
        <f>+IF(VLOOKUP(A22,'Estado SCI'!$A$16:$G$59,7,0)="","",VLOOKUP(A22,'Estado SCI'!$A$16:$G$59,7,0))</f>
        <v>En proceso</v>
      </c>
      <c r="J22" s="155">
        <f t="shared" si="2"/>
        <v>0.5</v>
      </c>
      <c r="K22" s="156">
        <f t="shared" si="1"/>
        <v>0.9</v>
      </c>
    </row>
    <row r="23" spans="1:11" ht="15" customHeight="1" x14ac:dyDescent="0.25">
      <c r="A23" s="154" t="s">
        <v>167</v>
      </c>
      <c r="B23" s="154" t="s">
        <v>61</v>
      </c>
      <c r="C23" s="154" t="s">
        <v>88</v>
      </c>
      <c r="D23" s="154" t="s">
        <v>40</v>
      </c>
      <c r="E23" s="154" t="s">
        <v>77</v>
      </c>
      <c r="F23" s="154" t="str">
        <f>+VLOOKUP(A23,'Estado SCI'!$A$16:$I$59,9,0)</f>
        <v>Mantenimiento del control</v>
      </c>
      <c r="G23" s="154">
        <f>+VLOOKUP(A23,'Estado SCI'!$A$16:$L$59,12,0)</f>
        <v>40.234567891234001</v>
      </c>
      <c r="H23" s="154">
        <f t="shared" si="0"/>
        <v>22</v>
      </c>
      <c r="I23" s="154" t="str">
        <f>+IF(VLOOKUP(A23,'Estado SCI'!$A$16:$G$59,7,0)="","",VLOOKUP(A23,'Estado SCI'!$A$16:$G$59,7,0))</f>
        <v>Si</v>
      </c>
      <c r="J23" s="155">
        <f t="shared" si="2"/>
        <v>1</v>
      </c>
      <c r="K23" s="156">
        <f t="shared" si="1"/>
        <v>0.9</v>
      </c>
    </row>
    <row r="24" spans="1:11" ht="15" customHeight="1" x14ac:dyDescent="0.25">
      <c r="A24" s="154" t="s">
        <v>168</v>
      </c>
      <c r="B24" s="154" t="str">
        <f>+VLOOKUP(A24,'Estado SCI'!$A$16:$C$59,3,0)</f>
        <v>ACTIVIDADES DE CONTROL</v>
      </c>
      <c r="C24" s="154" t="s">
        <v>88</v>
      </c>
      <c r="D24" s="154" t="s">
        <v>34</v>
      </c>
      <c r="E24" s="154" t="s">
        <v>81</v>
      </c>
      <c r="F24" s="154" t="str">
        <f>+VLOOKUP(A24,'Estado SCI'!$A$16:$I$59,9,0)</f>
        <v>Mantenimiento del control</v>
      </c>
      <c r="G24" s="154">
        <f>+VLOOKUP(A24,'Estado SCI'!$A$16:$L$59,12,0)</f>
        <v>60.31</v>
      </c>
      <c r="H24" s="154">
        <f t="shared" si="0"/>
        <v>26</v>
      </c>
      <c r="I24" s="154" t="str">
        <f>+IF(VLOOKUP(A24,'Estado SCI'!$A$16:$G$59,7,0)="","",VLOOKUP(A24,'Estado SCI'!$A$16:$G$59,7,0))</f>
        <v>Si</v>
      </c>
      <c r="J24" s="155">
        <f t="shared" si="2"/>
        <v>1</v>
      </c>
      <c r="K24" s="156">
        <f t="shared" si="1"/>
        <v>0.7</v>
      </c>
    </row>
    <row r="25" spans="1:11" ht="15" customHeight="1" x14ac:dyDescent="0.25">
      <c r="A25" s="154" t="s">
        <v>169</v>
      </c>
      <c r="B25" s="154" t="s">
        <v>79</v>
      </c>
      <c r="C25" s="154" t="s">
        <v>88</v>
      </c>
      <c r="D25" s="154" t="s">
        <v>37</v>
      </c>
      <c r="E25" s="154" t="s">
        <v>82</v>
      </c>
      <c r="F25" s="154" t="str">
        <f>+VLOOKUP(A25,'Estado SCI'!$A$16:$I$59,9,0)</f>
        <v>Oportunidad de mejora</v>
      </c>
      <c r="G25" s="154">
        <f>+VLOOKUP(A25,'Estado SCI'!$A$16:$L$59,12,0)</f>
        <v>50.323</v>
      </c>
      <c r="H25" s="154">
        <f t="shared" si="0"/>
        <v>23</v>
      </c>
      <c r="I25" s="154" t="str">
        <f>+IF(VLOOKUP(A25,'Estado SCI'!$A$16:$G$59,7,0)="","",VLOOKUP(A25,'Estado SCI'!$A$16:$G$59,7,0))</f>
        <v>En proceso</v>
      </c>
      <c r="J25" s="155">
        <f t="shared" si="2"/>
        <v>0.5</v>
      </c>
      <c r="K25" s="156">
        <f t="shared" si="1"/>
        <v>0.7</v>
      </c>
    </row>
    <row r="26" spans="1:11" ht="15" customHeight="1" x14ac:dyDescent="0.25">
      <c r="A26" s="154" t="s">
        <v>170</v>
      </c>
      <c r="B26" s="154" t="s">
        <v>79</v>
      </c>
      <c r="C26" s="154" t="s">
        <v>88</v>
      </c>
      <c r="D26" s="154" t="s">
        <v>40</v>
      </c>
      <c r="E26" s="154" t="s">
        <v>83</v>
      </c>
      <c r="F26" s="154" t="str">
        <f>+VLOOKUP(A26,'Estado SCI'!$A$16:$I$59,9,0)</f>
        <v>Oportunidad de mejora</v>
      </c>
      <c r="G26" s="154">
        <f>+VLOOKUP(A26,'Estado SCI'!$A$16:$L$59,12,0)</f>
        <v>50.323999999999998</v>
      </c>
      <c r="H26" s="154">
        <f t="shared" si="0"/>
        <v>24</v>
      </c>
      <c r="I26" s="154" t="str">
        <f>+IF(VLOOKUP(A26,'Estado SCI'!$A$16:$G$59,7,0)="","",VLOOKUP(A26,'Estado SCI'!$A$16:$G$59,7,0))</f>
        <v>En proceso</v>
      </c>
      <c r="J26" s="155">
        <f t="shared" si="2"/>
        <v>0.5</v>
      </c>
      <c r="K26" s="156">
        <f t="shared" si="1"/>
        <v>0.7</v>
      </c>
    </row>
    <row r="27" spans="1:11" ht="15.75" customHeight="1" x14ac:dyDescent="0.25">
      <c r="A27" s="154" t="s">
        <v>171</v>
      </c>
      <c r="B27" s="154" t="s">
        <v>79</v>
      </c>
      <c r="C27" s="154" t="s">
        <v>88</v>
      </c>
      <c r="D27" s="154" t="s">
        <v>42</v>
      </c>
      <c r="E27" s="154" t="s">
        <v>84</v>
      </c>
      <c r="F27" s="154" t="str">
        <f>+VLOOKUP(A27,'Estado SCI'!$A$16:$I$59,9,0)</f>
        <v>Oportunidad de mejora</v>
      </c>
      <c r="G27" s="154">
        <f>+VLOOKUP(A27,'Estado SCI'!$A$16:$L$59,12,0)</f>
        <v>50.325000000000003</v>
      </c>
      <c r="H27" s="154">
        <f t="shared" si="0"/>
        <v>25</v>
      </c>
      <c r="I27" s="154" t="str">
        <f>+IF(VLOOKUP(A27,'Estado SCI'!$A$16:$G$59,7,0)="","",VLOOKUP(A27,'Estado SCI'!$A$16:$G$59,7,0))</f>
        <v>En proceso</v>
      </c>
      <c r="J27" s="155">
        <f t="shared" si="2"/>
        <v>0.5</v>
      </c>
      <c r="K27" s="156">
        <f t="shared" si="1"/>
        <v>0.7</v>
      </c>
    </row>
    <row r="28" spans="1:11" ht="15" customHeight="1" x14ac:dyDescent="0.25">
      <c r="A28" s="154" t="s">
        <v>172</v>
      </c>
      <c r="B28" s="154" t="s">
        <v>79</v>
      </c>
      <c r="C28" s="154" t="s">
        <v>98</v>
      </c>
      <c r="D28" s="154" t="s">
        <v>44</v>
      </c>
      <c r="E28" s="154" t="s">
        <v>85</v>
      </c>
      <c r="F28" s="154" t="str">
        <f>+VLOOKUP(A28,'Estado SCI'!$A$16:$I$59,9,0)</f>
        <v>Mantenimiento del control</v>
      </c>
      <c r="G28" s="154">
        <f>+VLOOKUP(A28,'Estado SCI'!$A$16:$L$59,12,0)</f>
        <v>60.326000000000001</v>
      </c>
      <c r="H28" s="154">
        <f t="shared" si="0"/>
        <v>27</v>
      </c>
      <c r="I28" s="154" t="str">
        <f>+IF(VLOOKUP(A28,'Estado SCI'!$A$16:$G$59,7,0)="","",VLOOKUP(A28,'Estado SCI'!$A$16:$G$59,7,0))</f>
        <v>Si</v>
      </c>
      <c r="J28" s="155">
        <f t="shared" si="2"/>
        <v>1</v>
      </c>
      <c r="K28" s="156">
        <f t="shared" si="1"/>
        <v>0.7</v>
      </c>
    </row>
    <row r="29" spans="1:11" ht="15" customHeight="1" x14ac:dyDescent="0.25">
      <c r="A29" s="154" t="s">
        <v>173</v>
      </c>
      <c r="B29" s="154" t="str">
        <f>+VLOOKUP(A29,'Estado SCI'!$A$16:$C$59,3,0)</f>
        <v>INFORMACION Y COMUNICACIÓN</v>
      </c>
      <c r="C29" s="154" t="s">
        <v>98</v>
      </c>
      <c r="D29" s="154" t="s">
        <v>34</v>
      </c>
      <c r="E29" s="154" t="s">
        <v>89</v>
      </c>
      <c r="F29" s="154" t="str">
        <f>+VLOOKUP(A29,'Estado SCI'!$A$16:$I$59,9,0)</f>
        <v>Mantenimiento del control</v>
      </c>
      <c r="G29" s="154">
        <f>+VLOOKUP(A29,'Estado SCI'!$A$16:$L$59,12,0)</f>
        <v>80.412000000000006</v>
      </c>
      <c r="H29" s="154">
        <f t="shared" si="0"/>
        <v>30</v>
      </c>
      <c r="I29" s="154" t="str">
        <f>+IF(VLOOKUP(A29,'Estado SCI'!$A$16:$G$59,7,0)="","",VLOOKUP(A29,'Estado SCI'!$A$16:$G$59,7,0))</f>
        <v>Si</v>
      </c>
      <c r="J29" s="155">
        <f t="shared" si="2"/>
        <v>1</v>
      </c>
      <c r="K29" s="156">
        <f t="shared" si="1"/>
        <v>0.7857142857142857</v>
      </c>
    </row>
    <row r="30" spans="1:11" ht="15" customHeight="1" x14ac:dyDescent="0.25">
      <c r="A30" s="154" t="s">
        <v>174</v>
      </c>
      <c r="B30" s="154" t="s">
        <v>87</v>
      </c>
      <c r="C30" s="154" t="s">
        <v>98</v>
      </c>
      <c r="D30" s="154" t="s">
        <v>37</v>
      </c>
      <c r="E30" s="154" t="s">
        <v>90</v>
      </c>
      <c r="F30" s="154" t="str">
        <f>+VLOOKUP(A30,'Estado SCI'!$A$16:$I$59,9,0)</f>
        <v>Mantenimiento del control</v>
      </c>
      <c r="G30" s="154">
        <f>+VLOOKUP(A30,'Estado SCI'!$A$16:$L$59,12,0)</f>
        <v>80.412300000000002</v>
      </c>
      <c r="H30" s="154">
        <f t="shared" si="0"/>
        <v>31</v>
      </c>
      <c r="I30" s="154" t="str">
        <f>+IF(VLOOKUP(A30,'Estado SCI'!$A$16:$G$59,7,0)="","",VLOOKUP(A30,'Estado SCI'!$A$16:$G$59,7,0))</f>
        <v>Si</v>
      </c>
      <c r="J30" s="155">
        <f t="shared" si="2"/>
        <v>1</v>
      </c>
      <c r="K30" s="156">
        <f t="shared" si="1"/>
        <v>0.7857142857142857</v>
      </c>
    </row>
    <row r="31" spans="1:11" ht="15.75" customHeight="1" x14ac:dyDescent="0.25">
      <c r="A31" s="154" t="s">
        <v>175</v>
      </c>
      <c r="B31" s="154" t="s">
        <v>87</v>
      </c>
      <c r="C31" s="154" t="s">
        <v>98</v>
      </c>
      <c r="D31" s="154" t="s">
        <v>40</v>
      </c>
      <c r="E31" s="154" t="s">
        <v>91</v>
      </c>
      <c r="F31" s="154" t="str">
        <f>+VLOOKUP(A31,'Estado SCI'!$A$16:$I$59,9,0)</f>
        <v>Mantenimiento del control</v>
      </c>
      <c r="G31" s="154">
        <f>+VLOOKUP(A31,'Estado SCI'!$A$16:$L$59,12,0)</f>
        <v>80.41234</v>
      </c>
      <c r="H31" s="154">
        <f t="shared" si="0"/>
        <v>32</v>
      </c>
      <c r="I31" s="154" t="str">
        <f>+IF(VLOOKUP(A31,'Estado SCI'!$A$16:$G$59,7,0)="","",VLOOKUP(A31,'Estado SCI'!$A$16:$G$59,7,0))</f>
        <v>Si</v>
      </c>
      <c r="J31" s="155">
        <f t="shared" si="2"/>
        <v>1</v>
      </c>
      <c r="K31" s="156">
        <f t="shared" si="1"/>
        <v>0.7857142857142857</v>
      </c>
    </row>
    <row r="32" spans="1:11" x14ac:dyDescent="0.25">
      <c r="A32" s="154" t="s">
        <v>176</v>
      </c>
      <c r="B32" s="154" t="s">
        <v>87</v>
      </c>
      <c r="C32" s="154" t="s">
        <v>104</v>
      </c>
      <c r="D32" s="154" t="s">
        <v>42</v>
      </c>
      <c r="E32" s="154" t="s">
        <v>92</v>
      </c>
      <c r="F32" s="154" t="str">
        <f>+VLOOKUP(A32,'Estado SCI'!$A$16:$I$59,9,0)</f>
        <v>Deficiencia de control</v>
      </c>
      <c r="G32" s="154">
        <f>+VLOOKUP(A32,'Estado SCI'!$A$16:$L$59,12,0)</f>
        <v>60.412345000000002</v>
      </c>
      <c r="H32" s="154">
        <f t="shared" si="0"/>
        <v>28</v>
      </c>
      <c r="I32" s="154" t="str">
        <f>+IF(VLOOKUP(A32,'Estado SCI'!$A$16:$G$59,7,0)="","",VLOOKUP(A32,'Estado SCI'!$A$16:$G$59,7,0))</f>
        <v>No</v>
      </c>
      <c r="J32" s="155">
        <f t="shared" si="2"/>
        <v>0</v>
      </c>
      <c r="K32" s="156">
        <f t="shared" si="1"/>
        <v>0.7857142857142857</v>
      </c>
    </row>
    <row r="33" spans="1:11" x14ac:dyDescent="0.25">
      <c r="A33" s="154" t="s">
        <v>177</v>
      </c>
      <c r="B33" s="154" t="s">
        <v>87</v>
      </c>
      <c r="C33" s="154" t="s">
        <v>178</v>
      </c>
      <c r="D33" s="154" t="s">
        <v>44</v>
      </c>
      <c r="E33" s="154" t="s">
        <v>93</v>
      </c>
      <c r="F33" s="154" t="str">
        <f>+VLOOKUP(A33,'Estado SCI'!$A$16:$I$59,9,0)</f>
        <v>Mantenimiento del control</v>
      </c>
      <c r="G33" s="154">
        <f>+VLOOKUP(A33,'Estado SCI'!$A$16:$L$59,12,0)</f>
        <v>80.412345599999995</v>
      </c>
      <c r="H33" s="154">
        <f t="shared" si="0"/>
        <v>33</v>
      </c>
      <c r="I33" s="154" t="str">
        <f>+IF(VLOOKUP(A33,'Estado SCI'!$A$16:$G$59,7,0)="","",VLOOKUP(A33,'Estado SCI'!$A$16:$G$59,7,0))</f>
        <v>Si</v>
      </c>
      <c r="J33" s="155">
        <f t="shared" si="2"/>
        <v>1</v>
      </c>
      <c r="K33" s="156">
        <f t="shared" si="1"/>
        <v>0.7857142857142857</v>
      </c>
    </row>
    <row r="34" spans="1:11" x14ac:dyDescent="0.25">
      <c r="A34" s="154" t="s">
        <v>179</v>
      </c>
      <c r="B34" s="154" t="s">
        <v>87</v>
      </c>
      <c r="C34" s="154" t="s">
        <v>178</v>
      </c>
      <c r="D34" s="154" t="s">
        <v>46</v>
      </c>
      <c r="E34" s="154" t="s">
        <v>94</v>
      </c>
      <c r="F34" s="154" t="str">
        <f>+VLOOKUP(A34,'Estado SCI'!$A$16:$I$59,9,0)</f>
        <v>Mantenimiento del control</v>
      </c>
      <c r="G34" s="154">
        <f>+VLOOKUP(A34,'Estado SCI'!$A$16:$L$59,12,0)</f>
        <v>80.412345669999993</v>
      </c>
      <c r="H34" s="154">
        <f t="shared" si="0"/>
        <v>34</v>
      </c>
      <c r="I34" s="154" t="str">
        <f>+IF(VLOOKUP(A34,'Estado SCI'!$A$16:$G$59,7,0)="","",VLOOKUP(A34,'Estado SCI'!$A$16:$G$59,7,0))</f>
        <v>Si</v>
      </c>
      <c r="J34" s="155">
        <f t="shared" si="2"/>
        <v>1</v>
      </c>
      <c r="K34" s="156">
        <f t="shared" si="1"/>
        <v>0.7857142857142857</v>
      </c>
    </row>
    <row r="35" spans="1:11" x14ac:dyDescent="0.25">
      <c r="A35" s="154" t="s">
        <v>180</v>
      </c>
      <c r="B35" s="154" t="s">
        <v>87</v>
      </c>
      <c r="C35" s="154" t="s">
        <v>178</v>
      </c>
      <c r="D35" s="154" t="s">
        <v>48</v>
      </c>
      <c r="E35" s="154" t="s">
        <v>95</v>
      </c>
      <c r="F35" s="154" t="str">
        <f>+VLOOKUP(A35,'Estado SCI'!$A$16:$I$59,9,0)</f>
        <v>Oportunidad de mejora</v>
      </c>
      <c r="G35" s="154">
        <f>+VLOOKUP(A35,'Estado SCI'!$A$16:$L$59,12,0)</f>
        <v>70.412345677999994</v>
      </c>
      <c r="H35" s="154">
        <f t="shared" si="0"/>
        <v>29</v>
      </c>
      <c r="I35" s="154" t="str">
        <f>+IF(VLOOKUP(A35,'Estado SCI'!$A$16:$G$59,7,0)="","",VLOOKUP(A35,'Estado SCI'!$A$16:$G$59,7,0))</f>
        <v>En proceso</v>
      </c>
      <c r="J35" s="155">
        <f t="shared" si="2"/>
        <v>0.5</v>
      </c>
      <c r="K35" s="156">
        <f t="shared" si="1"/>
        <v>0.7857142857142857</v>
      </c>
    </row>
    <row r="36" spans="1:11" x14ac:dyDescent="0.25">
      <c r="A36" s="154" t="s">
        <v>181</v>
      </c>
      <c r="B36" s="154" t="str">
        <f>+VLOOKUP(A36,'Estado SCI'!$A$16:$C$59,3,0)</f>
        <v>ACTIVIDADES DE MONITOREO</v>
      </c>
      <c r="C36" s="154" t="s">
        <v>178</v>
      </c>
      <c r="D36" s="154" t="s">
        <v>34</v>
      </c>
      <c r="E36" s="154" t="s">
        <v>99</v>
      </c>
      <c r="F36" s="154" t="str">
        <f>+VLOOKUP(A36,'Estado SCI'!$A$16:$I$59,9,0)</f>
        <v>Mantenimiento del control</v>
      </c>
      <c r="G36" s="154">
        <f>+VLOOKUP(A36,'Estado SCI'!$A$16:$L$59,12,0)</f>
        <v>120.851</v>
      </c>
      <c r="H36" s="154">
        <f t="shared" si="0"/>
        <v>39</v>
      </c>
      <c r="I36" s="154" t="str">
        <f>+IF(VLOOKUP(A36,'Estado SCI'!$A$16:$G$59,7,0)="","",VLOOKUP(A36,'Estado SCI'!$A$16:$G$59,7,0))</f>
        <v>Si</v>
      </c>
      <c r="J36" s="155">
        <f t="shared" si="2"/>
        <v>1</v>
      </c>
      <c r="K36" s="156">
        <f t="shared" si="1"/>
        <v>0.8</v>
      </c>
    </row>
    <row r="37" spans="1:11" x14ac:dyDescent="0.25">
      <c r="A37" s="154" t="s">
        <v>182</v>
      </c>
      <c r="B37" s="154" t="s">
        <v>97</v>
      </c>
      <c r="C37" s="154" t="s">
        <v>178</v>
      </c>
      <c r="D37" s="154" t="s">
        <v>42</v>
      </c>
      <c r="E37" s="154" t="s">
        <v>100</v>
      </c>
      <c r="F37" s="154" t="str">
        <f>+VLOOKUP(A37,'Estado SCI'!$A$16:$I$59,9,0)</f>
        <v>Mantenimiento del control</v>
      </c>
      <c r="G37" s="154">
        <f>+VLOOKUP(A37,'Estado SCI'!$A$16:$L$59,12,0)</f>
        <v>120.85120000000001</v>
      </c>
      <c r="H37" s="154">
        <f t="shared" si="0"/>
        <v>40</v>
      </c>
      <c r="I37" s="154" t="str">
        <f>+IF(VLOOKUP(A37,'Estado SCI'!$A$16:$G$59,7,0)="","",VLOOKUP(A37,'Estado SCI'!$A$16:$G$59,7,0))</f>
        <v>Si</v>
      </c>
      <c r="J37" s="155">
        <f t="shared" si="2"/>
        <v>1</v>
      </c>
      <c r="K37" s="156">
        <f t="shared" si="1"/>
        <v>0.8</v>
      </c>
    </row>
    <row r="38" spans="1:11" x14ac:dyDescent="0.25">
      <c r="A38" s="154" t="s">
        <v>183</v>
      </c>
      <c r="B38" s="154" t="s">
        <v>97</v>
      </c>
      <c r="C38" s="154" t="s">
        <v>68</v>
      </c>
      <c r="D38" s="154" t="s">
        <v>46</v>
      </c>
      <c r="E38" s="154" t="s">
        <v>101</v>
      </c>
      <c r="F38" s="154" t="str">
        <f>+VLOOKUP(A38,'Estado SCI'!$A$16:$I$59,9,0)</f>
        <v>Mantenimiento del control</v>
      </c>
      <c r="G38" s="154">
        <f>+VLOOKUP(A38,'Estado SCI'!$A$16:$L$59,12,0)</f>
        <v>120.85123</v>
      </c>
      <c r="H38" s="154">
        <f t="shared" si="0"/>
        <v>41</v>
      </c>
      <c r="I38" s="154" t="str">
        <f>+IF(VLOOKUP(A38,'Estado SCI'!$A$16:$G$59,7,0)="","",VLOOKUP(A38,'Estado SCI'!$A$16:$G$59,7,0))</f>
        <v>Si</v>
      </c>
      <c r="J38" s="155">
        <f t="shared" si="2"/>
        <v>1</v>
      </c>
      <c r="K38" s="156">
        <f t="shared" si="1"/>
        <v>0.8</v>
      </c>
    </row>
    <row r="39" spans="1:11" x14ac:dyDescent="0.25">
      <c r="A39" s="154" t="s">
        <v>184</v>
      </c>
      <c r="B39" s="154" t="s">
        <v>97</v>
      </c>
      <c r="C39" s="154" t="s">
        <v>68</v>
      </c>
      <c r="D39" s="154" t="s">
        <v>48</v>
      </c>
      <c r="E39" s="154" t="s">
        <v>102</v>
      </c>
      <c r="F39" s="154" t="str">
        <f>+VLOOKUP(A39,'Estado SCI'!$A$16:$I$59,9,0)</f>
        <v>Mantenimiento del control</v>
      </c>
      <c r="G39" s="154">
        <f>+VLOOKUP(A39,'Estado SCI'!$A$16:$L$59,12,0)</f>
        <v>120.85123400000001</v>
      </c>
      <c r="H39" s="154">
        <f t="shared" si="0"/>
        <v>42</v>
      </c>
      <c r="I39" s="154" t="str">
        <f>+IF(VLOOKUP(A39,'Estado SCI'!$A$16:$G$59,7,0)="","",VLOOKUP(A39,'Estado SCI'!$A$16:$G$59,7,0))</f>
        <v>Si</v>
      </c>
      <c r="J39" s="155">
        <f t="shared" si="2"/>
        <v>1</v>
      </c>
      <c r="K39" s="156">
        <f t="shared" si="1"/>
        <v>0.8</v>
      </c>
    </row>
    <row r="40" spans="1:11" x14ac:dyDescent="0.25">
      <c r="A40" s="154" t="s">
        <v>185</v>
      </c>
      <c r="B40" s="154" t="s">
        <v>97</v>
      </c>
      <c r="C40" s="154" t="s">
        <v>68</v>
      </c>
      <c r="D40" s="154" t="s">
        <v>50</v>
      </c>
      <c r="E40" s="154" t="s">
        <v>105</v>
      </c>
      <c r="F40" s="154" t="str">
        <f>+VLOOKUP(A40,'Estado SCI'!$A$16:$I$59,9,0)</f>
        <v>Mantenimiento del control</v>
      </c>
      <c r="G40" s="154">
        <f>+VLOOKUP(A40,'Estado SCI'!$A$16:$L$59,12,0)</f>
        <v>120.8512345</v>
      </c>
      <c r="H40" s="154">
        <f t="shared" si="0"/>
        <v>43</v>
      </c>
      <c r="I40" s="154" t="str">
        <f>+IF(VLOOKUP(A40,'Estado SCI'!$A$16:$G$59,7,0)="","",VLOOKUP(A40,'Estado SCI'!$A$16:$G$59,7,0))</f>
        <v>Si</v>
      </c>
      <c r="J40" s="155">
        <f t="shared" si="2"/>
        <v>1</v>
      </c>
      <c r="K40" s="156">
        <f t="shared" si="1"/>
        <v>0.8</v>
      </c>
    </row>
    <row r="41" spans="1:11" x14ac:dyDescent="0.25">
      <c r="A41" s="154" t="s">
        <v>186</v>
      </c>
      <c r="B41" s="154" t="s">
        <v>97</v>
      </c>
      <c r="C41" s="154" t="s">
        <v>68</v>
      </c>
      <c r="D41" s="154" t="s">
        <v>34</v>
      </c>
      <c r="E41" s="154" t="s">
        <v>108</v>
      </c>
      <c r="F41" s="154" t="str">
        <f>+VLOOKUP(A41,'Estado SCI'!$A$16:$I$59,9,0)</f>
        <v>Oportunidad de mejora</v>
      </c>
      <c r="G41" s="154">
        <f>+VLOOKUP(A41,'Estado SCI'!$A$16:$L$59,12,0)</f>
        <v>100.85123455999999</v>
      </c>
      <c r="H41" s="154">
        <f t="shared" si="0"/>
        <v>35</v>
      </c>
      <c r="I41" s="154" t="str">
        <f>+IF(VLOOKUP(A41,'Estado SCI'!$A$16:$G$59,7,0)="","",VLOOKUP(A41,'Estado SCI'!$A$16:$G$59,7,0))</f>
        <v>En proceso</v>
      </c>
      <c r="J41" s="155">
        <f t="shared" si="2"/>
        <v>0.5</v>
      </c>
      <c r="K41" s="156">
        <f t="shared" si="1"/>
        <v>0.8</v>
      </c>
    </row>
    <row r="42" spans="1:11" x14ac:dyDescent="0.25">
      <c r="A42" s="154" t="s">
        <v>187</v>
      </c>
      <c r="B42" s="154" t="s">
        <v>97</v>
      </c>
      <c r="C42" s="154" t="s">
        <v>73</v>
      </c>
      <c r="D42" s="154" t="s">
        <v>37</v>
      </c>
      <c r="E42" s="154" t="s">
        <v>109</v>
      </c>
      <c r="F42" s="154" t="str">
        <f>+VLOOKUP(A42,'Estado SCI'!$A$16:$I$59,9,0)</f>
        <v>Mantenimiento del control</v>
      </c>
      <c r="G42" s="154">
        <f>+VLOOKUP(A42,'Estado SCI'!$A$16:$L$59,12,0)</f>
        <v>120.85123456700001</v>
      </c>
      <c r="H42" s="154">
        <f t="shared" si="0"/>
        <v>44</v>
      </c>
      <c r="I42" s="154" t="str">
        <f>+IF(VLOOKUP(A42,'Estado SCI'!$A$16:$G$59,7,0)="","",VLOOKUP(A42,'Estado SCI'!$A$16:$G$59,7,0))</f>
        <v>Si</v>
      </c>
      <c r="J42" s="155">
        <f t="shared" si="2"/>
        <v>1</v>
      </c>
      <c r="K42" s="156">
        <f t="shared" si="1"/>
        <v>0.8</v>
      </c>
    </row>
    <row r="43" spans="1:11" x14ac:dyDescent="0.25">
      <c r="A43" s="154" t="s">
        <v>188</v>
      </c>
      <c r="B43" s="154" t="s">
        <v>97</v>
      </c>
      <c r="C43" s="154" t="s">
        <v>73</v>
      </c>
      <c r="D43" s="154" t="s">
        <v>40</v>
      </c>
      <c r="E43" s="154" t="s">
        <v>110</v>
      </c>
      <c r="F43" s="154" t="str">
        <f>+VLOOKUP(A43,'Estado SCI'!$A$16:$I$59,9,0)</f>
        <v>Oportunidad de mejora</v>
      </c>
      <c r="G43" s="154">
        <f>+VLOOKUP(A43,'Estado SCI'!$A$16:$L$59,12,0)</f>
        <v>100.85123456780001</v>
      </c>
      <c r="H43" s="154">
        <f t="shared" si="0"/>
        <v>36</v>
      </c>
      <c r="I43" s="154" t="str">
        <f>+IF(VLOOKUP(A43,'Estado SCI'!$A$16:$G$59,7,0)="","",VLOOKUP(A43,'Estado SCI'!$A$16:$G$59,7,0))</f>
        <v>En proceso</v>
      </c>
      <c r="J43" s="155">
        <f t="shared" si="2"/>
        <v>0.5</v>
      </c>
      <c r="K43" s="156">
        <f t="shared" si="1"/>
        <v>0.8</v>
      </c>
    </row>
    <row r="44" spans="1:11" x14ac:dyDescent="0.25">
      <c r="A44" s="154" t="s">
        <v>189</v>
      </c>
      <c r="B44" s="154" t="s">
        <v>97</v>
      </c>
      <c r="C44" s="154" t="s">
        <v>73</v>
      </c>
      <c r="D44" s="154" t="s">
        <v>42</v>
      </c>
      <c r="E44" s="154" t="s">
        <v>111</v>
      </c>
      <c r="F44" s="154" t="str">
        <f>+VLOOKUP(A44,'Estado SCI'!$A$16:$I$59,9,0)</f>
        <v>Oportunidad de mejora</v>
      </c>
      <c r="G44" s="154">
        <f>+VLOOKUP(A44,'Estado SCI'!$A$16:$L$59,12,0)</f>
        <v>100.85123456789</v>
      </c>
      <c r="H44" s="154">
        <f t="shared" si="0"/>
        <v>37</v>
      </c>
      <c r="I44" s="154" t="str">
        <f>+IF(VLOOKUP(A44,'Estado SCI'!$A$16:$G$59,7,0)="","",VLOOKUP(A44,'Estado SCI'!$A$16:$G$59,7,0))</f>
        <v>En proceso</v>
      </c>
      <c r="J44" s="155">
        <f t="shared" si="2"/>
        <v>0.5</v>
      </c>
      <c r="K44" s="156">
        <f t="shared" si="1"/>
        <v>0.8</v>
      </c>
    </row>
    <row r="45" spans="1:11" x14ac:dyDescent="0.25">
      <c r="A45" s="154" t="s">
        <v>190</v>
      </c>
      <c r="B45" s="154" t="s">
        <v>97</v>
      </c>
      <c r="C45" s="154" t="s">
        <v>73</v>
      </c>
      <c r="D45" s="154" t="s">
        <v>44</v>
      </c>
      <c r="E45" s="154" t="s">
        <v>112</v>
      </c>
      <c r="F45" s="154" t="str">
        <f>+VLOOKUP(A45,'Estado SCI'!$A$16:$I$59,9,0)</f>
        <v>Oportunidad de mejora</v>
      </c>
      <c r="G45" s="154">
        <f>+VLOOKUP(A45,'Estado SCI'!$A$16:$L$59,12,0)</f>
        <v>100.851234567891</v>
      </c>
      <c r="H45" s="154">
        <f t="shared" si="0"/>
        <v>38</v>
      </c>
      <c r="I45" s="154" t="str">
        <f>+IF(VLOOKUP(A45,'Estado SCI'!$A$16:$G$59,7,0)="","",VLOOKUP(A45,'Estado SCI'!$A$16:$G$59,7,0))</f>
        <v>En proceso</v>
      </c>
      <c r="J45" s="155">
        <f t="shared" si="2"/>
        <v>0.5</v>
      </c>
      <c r="K45" s="156">
        <f t="shared" si="1"/>
        <v>0.8</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bibisaav</cp:lastModifiedBy>
  <cp:revision/>
  <dcterms:created xsi:type="dcterms:W3CDTF">2020-04-28T13:58:09Z</dcterms:created>
  <dcterms:modified xsi:type="dcterms:W3CDTF">2023-08-28T14:20:52Z</dcterms:modified>
  <cp:category/>
  <cp:contentStatus/>
</cp:coreProperties>
</file>